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970" activeTab="0"/>
  </bookViews>
  <sheets>
    <sheet name="Лист2" sheetId="1" r:id="rId1"/>
    <sheet name="справочник_поселений" sheetId="2" r:id="rId2"/>
    <sheet name="2016 сделала" sheetId="3" r:id="rId3"/>
  </sheets>
  <definedNames>
    <definedName name="_xlnm.Print_Area" localSheetId="2">'2016 сделала'!$A$1:$J$289</definedName>
    <definedName name="_xlnm.Print_Area" localSheetId="0">'Лист2'!$A$2:$J$208</definedName>
  </definedNames>
  <calcPr fullCalcOnLoad="1"/>
</workbook>
</file>

<file path=xl/sharedStrings.xml><?xml version="1.0" encoding="utf-8"?>
<sst xmlns="http://schemas.openxmlformats.org/spreadsheetml/2006/main" count="1391" uniqueCount="581">
  <si>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</si>
  <si>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</si>
  <si>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</si>
  <si>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</si>
  <si>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</si>
  <si>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</si>
  <si>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</si>
  <si>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</si>
  <si>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</si>
  <si>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</si>
  <si>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</si>
  <si>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</si>
  <si>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</si>
  <si>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</si>
  <si>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</si>
  <si>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</si>
  <si>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</si>
  <si>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</si>
  <si>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</si>
  <si>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</si>
  <si>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</si>
  <si>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</si>
  <si>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</si>
  <si>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</si>
  <si>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</si>
  <si>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</si>
  <si>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</si>
  <si>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</si>
  <si>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</si>
  <si>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</si>
  <si>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</si>
  <si>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</si>
  <si>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</si>
  <si>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</si>
  <si>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</si>
  <si>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</si>
  <si>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</si>
  <si>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</si>
  <si>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</si>
  <si>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</si>
  <si>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</si>
  <si>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</si>
  <si>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</si>
  <si>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</si>
  <si>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</si>
  <si>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</si>
  <si>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</si>
  <si>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</si>
  <si>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</si>
  <si>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</si>
  <si>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</si>
  <si>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</si>
  <si>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</si>
  <si>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</si>
  <si>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</si>
  <si>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</si>
  <si>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</si>
  <si>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</si>
  <si>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</si>
  <si>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</si>
  <si>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</si>
  <si>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</si>
  <si>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</si>
  <si>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</si>
  <si>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</si>
  <si>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</si>
  <si>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</si>
  <si>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</si>
  <si>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</si>
  <si>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</si>
  <si>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</si>
  <si>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</si>
  <si>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</si>
  <si>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</si>
  <si>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</si>
  <si>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</si>
  <si>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</si>
  <si>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</si>
  <si>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</si>
  <si>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</si>
  <si>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</si>
  <si>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</si>
  <si>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</si>
  <si>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</si>
  <si>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</si>
  <si>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</si>
  <si>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</si>
  <si>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</si>
  <si>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</si>
  <si>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</si>
  <si>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</si>
  <si>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</si>
  <si>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</si>
  <si>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</si>
  <si>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</si>
  <si>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</si>
  <si>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</si>
  <si>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</si>
  <si>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</si>
  <si>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</si>
  <si>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</si>
  <si>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</si>
  <si>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</si>
  <si>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</si>
  <si>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</si>
  <si>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</si>
  <si>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</si>
  <si>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</si>
  <si>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</si>
  <si>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</si>
  <si>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</si>
  <si>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</si>
  <si>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</si>
  <si>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</si>
  <si>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</si>
  <si>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</si>
  <si>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</si>
  <si>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</si>
  <si>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</si>
  <si>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</si>
  <si>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</si>
  <si>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</si>
  <si>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</si>
  <si>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</si>
  <si>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</si>
  <si>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</si>
  <si>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</si>
  <si>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</si>
  <si>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</si>
  <si>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</si>
  <si>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</si>
  <si>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</si>
  <si>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</si>
  <si>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</si>
  <si>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</si>
  <si>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</si>
  <si>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</si>
  <si>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</si>
  <si>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</si>
  <si>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</si>
  <si>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</si>
  <si>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</si>
  <si>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</si>
  <si>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</si>
  <si>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</si>
  <si>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</si>
  <si>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</si>
  <si>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</si>
  <si>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</si>
  <si>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</si>
  <si>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</si>
  <si>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</si>
  <si>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</si>
  <si>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</si>
  <si>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</si>
  <si>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</si>
  <si>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</si>
  <si>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</si>
  <si>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</si>
  <si>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</si>
  <si>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</si>
  <si>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</si>
  <si>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</si>
  <si>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</si>
  <si>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</si>
  <si>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</si>
  <si>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</si>
  <si>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</si>
  <si>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</si>
  <si>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</si>
  <si>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</si>
  <si>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</si>
  <si>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</si>
  <si>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</si>
  <si>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</si>
  <si>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</si>
  <si>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</si>
  <si>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</si>
  <si>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</si>
  <si>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</si>
  <si>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</si>
  <si>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</si>
  <si>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</si>
  <si>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</si>
  <si>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</si>
  <si>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</si>
  <si>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</si>
  <si>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</si>
  <si>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</si>
  <si>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</si>
  <si>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</si>
  <si>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</si>
  <si>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</si>
  <si>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</si>
  <si>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</si>
  <si>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</si>
  <si>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</si>
  <si>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</si>
  <si>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</si>
  <si>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</si>
  <si>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</si>
  <si>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</si>
  <si>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</si>
  <si>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</si>
  <si>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</si>
  <si>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</si>
  <si>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</si>
  <si>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</si>
  <si>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</si>
  <si>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</si>
  <si>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</si>
  <si>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</si>
  <si>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</si>
  <si>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</si>
  <si>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</si>
  <si>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</si>
  <si>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</si>
  <si>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</si>
  <si>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</si>
  <si>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</si>
  <si>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</si>
  <si>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</si>
  <si>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</si>
  <si>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</si>
  <si>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</si>
  <si>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</si>
  <si>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</si>
  <si>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</si>
  <si>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</si>
  <si>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</si>
  <si>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</si>
  <si>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</si>
  <si>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</si>
  <si>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</si>
  <si>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</si>
  <si>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</si>
  <si>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</si>
  <si>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</si>
  <si>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</si>
  <si>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</si>
  <si>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</si>
  <si>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</si>
  <si>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</si>
  <si>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</si>
  <si>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</si>
  <si>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</si>
  <si>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</si>
  <si>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</si>
  <si>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</si>
  <si>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</si>
  <si>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</si>
  <si>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</si>
  <si>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</si>
  <si>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</si>
  <si>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</si>
  <si>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</si>
  <si>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</si>
  <si>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</si>
  <si>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</si>
  <si>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</si>
  <si>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</si>
  <si>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</si>
  <si>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</si>
  <si>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</si>
  <si>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</si>
  <si>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</si>
  <si>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</si>
  <si>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</si>
  <si>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</si>
  <si>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</si>
  <si>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</si>
  <si>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</si>
  <si>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</si>
  <si>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</si>
  <si>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</si>
  <si>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</si>
  <si>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</si>
  <si>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</si>
  <si>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</si>
  <si>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</si>
  <si>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</si>
  <si>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</si>
  <si>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</si>
  <si>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</si>
  <si>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</si>
  <si>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</si>
  <si>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</si>
  <si>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</si>
  <si>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</si>
  <si>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</si>
  <si>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</si>
  <si>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</si>
  <si>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</si>
  <si>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</si>
  <si>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</si>
  <si>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</si>
  <si>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</si>
  <si>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</si>
  <si>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</si>
  <si>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</si>
  <si>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</si>
  <si>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</si>
  <si>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</si>
  <si>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</si>
  <si>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</si>
  <si>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</si>
  <si>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</si>
  <si>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</si>
  <si>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</si>
  <si>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</si>
  <si>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</si>
  <si>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</si>
  <si>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</si>
  <si>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</si>
  <si>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</si>
  <si>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</si>
  <si>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</si>
  <si>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</si>
  <si>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</si>
  <si>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</si>
  <si>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</si>
  <si>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</si>
  <si>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</si>
  <si>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</si>
  <si>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</si>
  <si>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</si>
  <si>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</si>
  <si>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</si>
  <si>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</si>
  <si>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</si>
  <si>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</si>
  <si>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</si>
  <si>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</si>
  <si>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</si>
  <si>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</si>
  <si>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</si>
  <si>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</si>
  <si>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</si>
  <si>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</si>
  <si>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</si>
  <si>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</si>
  <si>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</si>
  <si>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</si>
  <si>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</si>
  <si>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</si>
  <si>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</si>
  <si>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</si>
  <si>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</si>
  <si>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</si>
  <si>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</si>
  <si>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</si>
  <si>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</si>
  <si>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</si>
  <si>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</si>
  <si>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</si>
  <si>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</si>
  <si>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</si>
  <si>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</si>
  <si>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</si>
  <si>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</si>
  <si>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</si>
  <si>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</si>
  <si>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</si>
  <si>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</si>
  <si>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</si>
  <si>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</si>
  <si>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</si>
  <si>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</si>
  <si>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</si>
  <si>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</si>
  <si>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</si>
  <si>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</si>
  <si>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</si>
  <si>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</si>
  <si>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</si>
  <si>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</si>
  <si>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</si>
  <si>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</si>
  <si>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</si>
  <si>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</si>
  <si>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</si>
  <si>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</si>
  <si>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</si>
  <si>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</si>
  <si>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</si>
  <si>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</si>
  <si>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</si>
  <si>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</si>
  <si>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</si>
  <si>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</si>
  <si>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</si>
  <si>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</si>
  <si>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</si>
  <si>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</si>
  <si>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</si>
  <si>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</si>
  <si>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</si>
  <si>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</si>
  <si>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</si>
  <si>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</si>
  <si>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</si>
  <si>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</si>
  <si>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</si>
  <si>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</si>
  <si>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</si>
  <si>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</si>
  <si>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</si>
  <si>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</si>
  <si>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</si>
  <si>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</si>
  <si>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</si>
  <si>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</si>
  <si>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</si>
  <si>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</si>
  <si>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</si>
  <si>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</si>
  <si>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</si>
  <si>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</si>
  <si>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</si>
  <si>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</si>
  <si>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</si>
  <si>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</si>
  <si>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</si>
  <si>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</si>
  <si>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</si>
  <si>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</si>
  <si>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</si>
  <si>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</si>
  <si>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</si>
  <si>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</si>
  <si>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</si>
  <si>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</si>
  <si>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</si>
  <si>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</si>
  <si>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</si>
  <si>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</si>
  <si>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</si>
  <si>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</si>
  <si>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</si>
  <si>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</si>
  <si>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</si>
  <si>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</si>
  <si>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</si>
  <si>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</si>
  <si>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</si>
  <si>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</si>
  <si>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</si>
  <si>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</si>
  <si>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</si>
  <si>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</si>
  <si>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</si>
  <si>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</si>
  <si>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</si>
  <si>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</si>
  <si>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</si>
  <si>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</si>
  <si>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</si>
  <si>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</si>
  <si>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</si>
  <si>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</si>
  <si>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</si>
  <si>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</si>
  <si>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</si>
  <si>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</si>
  <si>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</si>
  <si>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</si>
  <si>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</si>
  <si>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</si>
  <si>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</si>
  <si>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</si>
  <si>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</si>
  <si>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</si>
  <si>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</si>
  <si>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</si>
  <si>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</si>
  <si>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</si>
  <si>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</si>
  <si>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</si>
  <si>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</si>
  <si>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</si>
  <si>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</si>
  <si>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</si>
  <si>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</si>
  <si>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</si>
  <si>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</si>
  <si>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</si>
  <si>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</si>
  <si>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</si>
  <si>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</si>
  <si>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</si>
  <si>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</si>
  <si>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</si>
  <si>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</si>
  <si>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</si>
  <si>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</si>
  <si>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</si>
  <si>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</si>
  <si>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</si>
  <si>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</si>
  <si>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</si>
  <si>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</si>
  <si>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</si>
  <si>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</si>
  <si>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</si>
  <si>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</si>
  <si>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</si>
  <si>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</si>
  <si>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</si>
  <si>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</si>
  <si>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</si>
  <si>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</si>
  <si>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</si>
  <si>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</si>
  <si>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</si>
  <si>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</si>
  <si>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</si>
  <si>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</si>
  <si>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</si>
  <si>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</si>
  <si>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</si>
  <si>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</si>
  <si>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</si>
  <si>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</si>
  <si>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</si>
  <si>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</si>
  <si>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</si>
  <si>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</si>
  <si>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</si>
  <si>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</si>
  <si>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</si>
  <si>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</si>
  <si>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</si>
  <si>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</si>
  <si>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</si>
  <si>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</si>
  <si>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</si>
  <si>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</si>
  <si>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</si>
  <si>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</si>
  <si>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</si>
  <si>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ЗАО "Холдинг СКЗ"</t>
  </si>
  <si>
    <t>ОАО "Сальское "Молоко"</t>
  </si>
  <si>
    <t>ГУП РО "Сальское ДРСУ"</t>
  </si>
  <si>
    <t>СПК (СА) "Русь"</t>
  </si>
  <si>
    <t>ООО "Славяне"</t>
  </si>
  <si>
    <t>ОАО "Сальсксельмаш"</t>
  </si>
  <si>
    <t>ОАО "Южное"</t>
  </si>
  <si>
    <t>ОАО РТП "Авторемонтник"</t>
  </si>
  <si>
    <t>ОАО "Сальскводремстрой"</t>
  </si>
  <si>
    <t>ООО "Агро-Мичуринское"</t>
  </si>
  <si>
    <t>ООО " Коломийцевское"</t>
  </si>
  <si>
    <t>ОАО "Сальский хлебокомбинат"</t>
  </si>
  <si>
    <t>СПК им. "Ангельева"</t>
  </si>
  <si>
    <t>ООО "Березовское"</t>
  </si>
  <si>
    <t>5.Кручено-Балковское</t>
  </si>
  <si>
    <t>1.Буденновское поселение</t>
  </si>
  <si>
    <t>2.Гигантовское поселение</t>
  </si>
  <si>
    <t>3.Екатериновское поселение</t>
  </si>
  <si>
    <t>4.Ивановское поселение</t>
  </si>
  <si>
    <t>6.Манычское поселение</t>
  </si>
  <si>
    <t>7.Новоегорлыкское поселение</t>
  </si>
  <si>
    <t>8.Рыбасовское поселение</t>
  </si>
  <si>
    <t>9.Сальское поселение</t>
  </si>
  <si>
    <t>10.Сандатовское поселение</t>
  </si>
  <si>
    <t>11.Юловское поселение</t>
  </si>
  <si>
    <t xml:space="preserve">Заместитель главы Администрации Сальского района                                    Л.И. Неберикутина                          </t>
  </si>
  <si>
    <t xml:space="preserve"> по финансам-начальник финансового управления   </t>
  </si>
  <si>
    <t>Заместитель главы Администрации Сальского района</t>
  </si>
  <si>
    <t xml:space="preserve"> </t>
  </si>
  <si>
    <t xml:space="preserve"> по экономике  и инвестиционной политике</t>
  </si>
  <si>
    <t>исп.Пашина И.А.</t>
  </si>
  <si>
    <t>8-(863-72) 5-12-91</t>
  </si>
  <si>
    <t xml:space="preserve">            С.П. Дума</t>
  </si>
  <si>
    <t>Прогноз показателей труда в целом по Сальскому району</t>
  </si>
  <si>
    <t>1.Ивановское сельское поселение</t>
  </si>
  <si>
    <t>1. Ивановское сельское поселение</t>
  </si>
  <si>
    <t>Ивановского сельского поселения</t>
  </si>
  <si>
    <t>2020 г.</t>
  </si>
  <si>
    <t>2021 г.</t>
  </si>
  <si>
    <t>ТРУД</t>
  </si>
  <si>
    <t xml:space="preserve">Приложение №1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</si>
</sst>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sz val="7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6" fillId="0" borderId="0" xfId="53">
      <alignment/>
      <protection/>
    </xf>
    <xf numFmtId="0" fontId="21" fillId="0" borderId="0" xfId="53" applyFont="1" applyAlignment="1">
      <alignment horizontal="left"/>
      <protection/>
    </xf>
    <xf numFmtId="169" fontId="17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0" fillId="0" borderId="18" xfId="53" applyNumberFormat="1" applyFont="1" applyFill="1" applyBorder="1">
      <alignment/>
      <protection/>
    </xf>
    <xf numFmtId="169" fontId="46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6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/>
    </xf>
    <xf numFmtId="2" fontId="10" fillId="0" borderId="18" xfId="0" applyNumberFormat="1" applyFont="1" applyBorder="1" applyAlignment="1">
      <alignment/>
    </xf>
    <xf numFmtId="2" fontId="24" fillId="0" borderId="18" xfId="0" applyNumberFormat="1" applyFont="1" applyBorder="1" applyAlignment="1">
      <alignment/>
    </xf>
    <xf numFmtId="2" fontId="24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2" fontId="24" fillId="0" borderId="18" xfId="0" applyNumberFormat="1" applyFont="1" applyBorder="1" applyAlignment="1">
      <alignment/>
    </xf>
    <xf numFmtId="2" fontId="10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2" fontId="26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26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2" fontId="25" fillId="0" borderId="18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6" xfId="0" applyFont="1" applyBorder="1" applyAlignment="1">
      <alignment wrapText="1"/>
    </xf>
    <xf numFmtId="0" fontId="0" fillId="0" borderId="28" xfId="0" applyBorder="1" applyAlignment="1">
      <alignment/>
    </xf>
    <xf numFmtId="2" fontId="4" fillId="33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23" fillId="33" borderId="18" xfId="0" applyNumberFormat="1" applyFont="1" applyFill="1" applyBorder="1" applyAlignment="1">
      <alignment/>
    </xf>
    <xf numFmtId="2" fontId="13" fillId="33" borderId="18" xfId="0" applyNumberFormat="1" applyFont="1" applyFill="1" applyBorder="1" applyAlignment="1">
      <alignment/>
    </xf>
    <xf numFmtId="2" fontId="13" fillId="33" borderId="18" xfId="0" applyNumberFormat="1" applyFont="1" applyFill="1" applyBorder="1" applyAlignment="1">
      <alignment/>
    </xf>
    <xf numFmtId="2" fontId="26" fillId="0" borderId="25" xfId="0" applyNumberFormat="1" applyFont="1" applyFill="1" applyBorder="1" applyAlignment="1">
      <alignment/>
    </xf>
    <xf numFmtId="164" fontId="26" fillId="0" borderId="13" xfId="0" applyNumberFormat="1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2" fontId="23" fillId="0" borderId="20" xfId="0" applyNumberFormat="1" applyFont="1" applyFill="1" applyBorder="1" applyAlignment="1">
      <alignment/>
    </xf>
    <xf numFmtId="2" fontId="23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justify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2" fontId="10" fillId="34" borderId="18" xfId="0" applyNumberFormat="1" applyFont="1" applyFill="1" applyBorder="1" applyAlignment="1">
      <alignment/>
    </xf>
    <xf numFmtId="2" fontId="13" fillId="34" borderId="18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2" fontId="13" fillId="34" borderId="18" xfId="0" applyNumberFormat="1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5" fillId="34" borderId="24" xfId="0" applyFont="1" applyFill="1" applyBorder="1" applyAlignment="1">
      <alignment/>
    </xf>
    <xf numFmtId="169" fontId="10" fillId="34" borderId="29" xfId="53" applyNumberFormat="1" applyFont="1" applyFill="1" applyBorder="1">
      <alignment/>
      <protection/>
    </xf>
    <xf numFmtId="0" fontId="5" fillId="34" borderId="26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2" fontId="0" fillId="34" borderId="18" xfId="0" applyNumberFormat="1" applyFill="1" applyBorder="1" applyAlignment="1">
      <alignment/>
    </xf>
    <xf numFmtId="2" fontId="1" fillId="34" borderId="18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2" fontId="10" fillId="34" borderId="20" xfId="0" applyNumberFormat="1" applyFont="1" applyFill="1" applyBorder="1" applyAlignment="1">
      <alignment/>
    </xf>
    <xf numFmtId="2" fontId="10" fillId="34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3" fillId="34" borderId="20" xfId="0" applyNumberFormat="1" applyFont="1" applyFill="1" applyBorder="1" applyAlignment="1">
      <alignment/>
    </xf>
    <xf numFmtId="2" fontId="26" fillId="34" borderId="24" xfId="0" applyNumberFormat="1" applyFont="1" applyFill="1" applyBorder="1" applyAlignment="1">
      <alignment horizontal="center"/>
    </xf>
    <xf numFmtId="2" fontId="23" fillId="34" borderId="12" xfId="0" applyNumberFormat="1" applyFont="1" applyFill="1" applyBorder="1" applyAlignment="1">
      <alignment/>
    </xf>
    <xf numFmtId="2" fontId="26" fillId="34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23" fillId="3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Alignment="1">
      <alignment horizontal="center" vertical="justify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8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8"/>
  <sheetViews>
    <sheetView tabSelected="1" view="pageBreakPreview" zoomScaleNormal="75" zoomScaleSheetLayoutView="100" zoomScalePageLayoutView="0" workbookViewId="0" topLeftCell="A208">
      <selection activeCell="A112" sqref="A112:A114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6" width="9.375" style="0" customWidth="1"/>
    <col min="7" max="7" width="8.625" style="0" customWidth="1"/>
    <col min="9" max="9" width="9.75390625" style="0" customWidth="1"/>
    <col min="10" max="10" width="9.125" style="0" customWidth="1"/>
    <col min="11" max="11" width="0.12890625" style="0" customWidth="1"/>
    <col min="12" max="12" width="7.75390625" style="0" customWidth="1"/>
  </cols>
  <sheetData>
    <row r="3" spans="1:11" ht="15">
      <c r="A3" s="282" t="s">
        <v>580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8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">
      <c r="A5" s="112"/>
      <c r="B5" s="113"/>
      <c r="C5" s="280" t="s">
        <v>579</v>
      </c>
      <c r="D5" s="281"/>
      <c r="E5" s="281"/>
      <c r="F5" s="281"/>
      <c r="G5" s="113"/>
      <c r="H5" s="113"/>
      <c r="I5" s="126"/>
      <c r="J5" s="113"/>
      <c r="K5" s="113"/>
    </row>
    <row r="6" spans="2:7" ht="19.5" customHeight="1">
      <c r="B6" s="273" t="s">
        <v>69</v>
      </c>
      <c r="C6" s="273"/>
      <c r="D6" s="273"/>
      <c r="E6" s="273"/>
      <c r="F6" s="273"/>
      <c r="G6" s="273"/>
    </row>
    <row r="7" spans="2:7" ht="13.5" thickBot="1">
      <c r="B7" s="276" t="s">
        <v>576</v>
      </c>
      <c r="C7" s="276"/>
      <c r="D7" s="276"/>
      <c r="E7" s="276"/>
      <c r="F7" s="276"/>
      <c r="G7" s="276"/>
    </row>
    <row r="8" spans="1:10" ht="13.5" thickBot="1">
      <c r="A8" s="1"/>
      <c r="B8" s="7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</v>
      </c>
      <c r="H8" s="8"/>
      <c r="I8" s="9" t="s">
        <v>5</v>
      </c>
      <c r="J8" s="10"/>
    </row>
    <row r="9" spans="1:10" ht="12.75">
      <c r="A9" s="3" t="s">
        <v>2</v>
      </c>
      <c r="B9" s="3" t="s">
        <v>12</v>
      </c>
      <c r="C9" s="3" t="s">
        <v>506</v>
      </c>
      <c r="D9" s="102" t="s">
        <v>78</v>
      </c>
      <c r="E9" s="3" t="s">
        <v>507</v>
      </c>
      <c r="F9" s="102" t="s">
        <v>78</v>
      </c>
      <c r="G9" s="3" t="s">
        <v>516</v>
      </c>
      <c r="H9" s="3" t="s">
        <v>539</v>
      </c>
      <c r="I9" s="3" t="s">
        <v>577</v>
      </c>
      <c r="J9" s="3" t="s">
        <v>578</v>
      </c>
    </row>
    <row r="10" spans="1:10" ht="13.5" thickBot="1">
      <c r="A10" s="4"/>
      <c r="B10" s="4" t="s">
        <v>13</v>
      </c>
      <c r="C10" s="104" t="s">
        <v>17</v>
      </c>
      <c r="D10" s="104" t="s">
        <v>507</v>
      </c>
      <c r="E10" s="104" t="s">
        <v>17</v>
      </c>
      <c r="F10" s="104" t="s">
        <v>516</v>
      </c>
      <c r="G10" s="106"/>
      <c r="H10" s="107"/>
      <c r="I10" s="6"/>
      <c r="J10" s="6"/>
    </row>
    <row r="11" spans="1:10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2.75">
      <c r="A12" s="79" t="s">
        <v>4</v>
      </c>
      <c r="B12" s="80" t="s">
        <v>29</v>
      </c>
      <c r="C12" s="74">
        <v>188</v>
      </c>
      <c r="D12" s="74">
        <v>186</v>
      </c>
      <c r="E12" s="74">
        <v>184</v>
      </c>
      <c r="F12" s="74">
        <v>184</v>
      </c>
      <c r="G12" s="74">
        <v>186</v>
      </c>
      <c r="H12" s="74">
        <v>184</v>
      </c>
      <c r="I12" s="74">
        <v>186</v>
      </c>
      <c r="J12" s="74">
        <v>188</v>
      </c>
    </row>
    <row r="13" spans="1:10" ht="24">
      <c r="A13" s="81" t="s">
        <v>35</v>
      </c>
      <c r="B13" s="80" t="s">
        <v>29</v>
      </c>
      <c r="C13" s="74"/>
      <c r="D13" s="74"/>
      <c r="E13" s="74"/>
      <c r="F13" s="74"/>
      <c r="G13" s="74"/>
      <c r="H13" s="74"/>
      <c r="I13" s="74"/>
      <c r="J13" s="74"/>
    </row>
    <row r="14" spans="1:10" ht="39.75" customHeight="1">
      <c r="A14" s="81" t="s">
        <v>36</v>
      </c>
      <c r="B14" s="76" t="s">
        <v>29</v>
      </c>
      <c r="C14" s="33"/>
      <c r="D14" s="33"/>
      <c r="E14" s="33"/>
      <c r="F14" s="33"/>
      <c r="G14" s="33"/>
      <c r="H14" s="33"/>
      <c r="I14" s="33"/>
      <c r="J14" s="33"/>
    </row>
    <row r="15" spans="1:11" ht="12.75">
      <c r="A15" s="81" t="s">
        <v>37</v>
      </c>
      <c r="B15" s="76" t="s">
        <v>29</v>
      </c>
      <c r="C15" s="33"/>
      <c r="D15" s="33"/>
      <c r="E15" s="33"/>
      <c r="F15" s="33"/>
      <c r="G15" s="33"/>
      <c r="H15" s="33"/>
      <c r="I15" s="33"/>
      <c r="J15" s="33"/>
      <c r="K15" s="5"/>
    </row>
    <row r="16" spans="1:11" ht="12.75">
      <c r="A16" s="81" t="s">
        <v>38</v>
      </c>
      <c r="B16" s="76" t="s">
        <v>29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12.75">
      <c r="A17" s="81" t="s">
        <v>39</v>
      </c>
      <c r="B17" s="76" t="s">
        <v>29</v>
      </c>
      <c r="C17" s="33"/>
      <c r="D17" s="33"/>
      <c r="E17" s="33"/>
      <c r="F17" s="33"/>
      <c r="G17" s="33"/>
      <c r="H17" s="33"/>
      <c r="I17" s="33"/>
      <c r="J17" s="33"/>
      <c r="K17" s="5"/>
    </row>
    <row r="18" spans="1:11" ht="24">
      <c r="A18" s="81" t="s">
        <v>40</v>
      </c>
      <c r="B18" s="76" t="s">
        <v>29</v>
      </c>
      <c r="C18" s="33"/>
      <c r="D18" s="33"/>
      <c r="E18" s="33"/>
      <c r="F18" s="33"/>
      <c r="G18" s="33"/>
      <c r="H18" s="33"/>
      <c r="I18" s="33"/>
      <c r="J18" s="33"/>
      <c r="K18" s="5"/>
    </row>
    <row r="19" spans="1:11" ht="12.75">
      <c r="A19" s="81" t="s">
        <v>41</v>
      </c>
      <c r="B19" s="76" t="s">
        <v>29</v>
      </c>
      <c r="C19" s="33"/>
      <c r="D19" s="33"/>
      <c r="E19" s="33"/>
      <c r="F19" s="33"/>
      <c r="G19" s="33"/>
      <c r="H19" s="33"/>
      <c r="I19" s="33"/>
      <c r="J19" s="33"/>
      <c r="K19" s="5"/>
    </row>
    <row r="20" spans="1:10" ht="48">
      <c r="A20" s="81" t="s">
        <v>42</v>
      </c>
      <c r="B20" s="76" t="s">
        <v>29</v>
      </c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81" t="s">
        <v>43</v>
      </c>
      <c r="B21" s="78"/>
      <c r="C21" s="73"/>
      <c r="D21" s="73"/>
      <c r="E21" s="73"/>
      <c r="F21" s="73"/>
      <c r="G21" s="73"/>
      <c r="H21" s="73"/>
      <c r="I21" s="73"/>
      <c r="J21" s="73"/>
    </row>
    <row r="22" spans="1:10" ht="48">
      <c r="A22" s="81" t="s">
        <v>44</v>
      </c>
      <c r="B22" s="76" t="s">
        <v>29</v>
      </c>
      <c r="C22" s="74"/>
      <c r="D22" s="74"/>
      <c r="E22" s="74"/>
      <c r="F22" s="74"/>
      <c r="G22" s="74"/>
      <c r="H22" s="74"/>
      <c r="I22" s="74"/>
      <c r="J22" s="74"/>
    </row>
    <row r="23" spans="1:10" ht="48">
      <c r="A23" s="81" t="s">
        <v>45</v>
      </c>
      <c r="B23" s="76"/>
      <c r="C23" s="75"/>
      <c r="D23" s="82"/>
      <c r="E23" s="33"/>
      <c r="F23" s="33"/>
      <c r="G23" s="33"/>
      <c r="H23" s="33"/>
      <c r="I23" s="33"/>
      <c r="J23" s="33"/>
    </row>
    <row r="24" spans="1:10" ht="12.75">
      <c r="A24" s="81" t="s">
        <v>46</v>
      </c>
      <c r="B24" s="76" t="s">
        <v>29</v>
      </c>
      <c r="C24" s="75"/>
      <c r="D24" s="82"/>
      <c r="E24" s="33"/>
      <c r="F24" s="33"/>
      <c r="G24" s="33"/>
      <c r="H24" s="33"/>
      <c r="I24" s="33"/>
      <c r="J24" s="33"/>
    </row>
    <row r="25" spans="1:10" ht="12.75">
      <c r="A25" s="81" t="s">
        <v>47</v>
      </c>
      <c r="B25" s="76" t="s">
        <v>29</v>
      </c>
      <c r="C25" s="75"/>
      <c r="D25" s="82"/>
      <c r="E25" s="33"/>
      <c r="F25" s="33"/>
      <c r="G25" s="33"/>
      <c r="H25" s="33"/>
      <c r="I25" s="33"/>
      <c r="J25" s="33"/>
    </row>
    <row r="26" spans="1:10" ht="12.75">
      <c r="A26" s="81" t="s">
        <v>48</v>
      </c>
      <c r="B26" s="76"/>
      <c r="C26" s="75"/>
      <c r="D26" s="82"/>
      <c r="E26" s="33"/>
      <c r="F26" s="33"/>
      <c r="G26" s="33"/>
      <c r="H26" s="33"/>
      <c r="I26" s="33"/>
      <c r="J26" s="33"/>
    </row>
    <row r="27" spans="1:10" ht="12.75">
      <c r="A27" s="81" t="s">
        <v>49</v>
      </c>
      <c r="B27" s="76" t="s">
        <v>29</v>
      </c>
      <c r="C27" s="75"/>
      <c r="D27" s="82"/>
      <c r="E27" s="33"/>
      <c r="F27" s="33"/>
      <c r="G27" s="33"/>
      <c r="H27" s="33"/>
      <c r="I27" s="33"/>
      <c r="J27" s="33"/>
    </row>
    <row r="28" spans="1:10" ht="24">
      <c r="A28" s="81" t="s">
        <v>50</v>
      </c>
      <c r="B28" s="76" t="s">
        <v>29</v>
      </c>
      <c r="C28" s="75"/>
      <c r="D28" s="82"/>
      <c r="E28" s="33"/>
      <c r="F28" s="33"/>
      <c r="G28" s="33"/>
      <c r="H28" s="33"/>
      <c r="I28" s="33"/>
      <c r="J28" s="33"/>
    </row>
    <row r="29" spans="1:10" ht="48">
      <c r="A29" s="81" t="s">
        <v>51</v>
      </c>
      <c r="B29" s="76" t="s">
        <v>29</v>
      </c>
      <c r="C29" s="75"/>
      <c r="D29" s="82"/>
      <c r="E29" s="33"/>
      <c r="F29" s="33"/>
      <c r="G29" s="33"/>
      <c r="H29" s="33"/>
      <c r="I29" s="33"/>
      <c r="J29" s="33"/>
    </row>
    <row r="30" spans="1:10" ht="12.75">
      <c r="A30" s="81" t="s">
        <v>52</v>
      </c>
      <c r="B30" s="76" t="s">
        <v>29</v>
      </c>
      <c r="C30" s="75"/>
      <c r="D30" s="82"/>
      <c r="E30" s="33"/>
      <c r="F30" s="33"/>
      <c r="G30" s="33"/>
      <c r="H30" s="33"/>
      <c r="I30" s="33"/>
      <c r="J30" s="33"/>
    </row>
    <row r="31" spans="1:10" ht="24">
      <c r="A31" s="81" t="s">
        <v>53</v>
      </c>
      <c r="B31" s="76" t="s">
        <v>29</v>
      </c>
      <c r="C31" s="75"/>
      <c r="D31" s="82"/>
      <c r="E31" s="33"/>
      <c r="F31" s="33"/>
      <c r="G31" s="33"/>
      <c r="H31" s="33"/>
      <c r="I31" s="33"/>
      <c r="J31" s="33"/>
    </row>
    <row r="32" spans="1:10" ht="36">
      <c r="A32" s="81" t="s">
        <v>54</v>
      </c>
      <c r="B32" s="76" t="s">
        <v>29</v>
      </c>
      <c r="C32" s="75"/>
      <c r="D32" s="82"/>
      <c r="E32" s="33"/>
      <c r="F32" s="33"/>
      <c r="G32" s="33"/>
      <c r="H32" s="33"/>
      <c r="I32" s="33"/>
      <c r="J32" s="33"/>
    </row>
    <row r="33" spans="1:10" ht="12.75">
      <c r="A33" s="83"/>
      <c r="B33" s="76"/>
      <c r="C33" s="75"/>
      <c r="D33" s="82"/>
      <c r="E33" s="33"/>
      <c r="F33" s="33"/>
      <c r="G33" s="33"/>
      <c r="H33" s="33"/>
      <c r="I33" s="33"/>
      <c r="J33" s="33"/>
    </row>
    <row r="34" spans="1:10" ht="38.25">
      <c r="A34" s="94" t="s">
        <v>59</v>
      </c>
      <c r="B34" s="173" t="s">
        <v>57</v>
      </c>
      <c r="C34" s="75"/>
      <c r="D34" s="82"/>
      <c r="E34" s="33"/>
      <c r="F34" s="33"/>
      <c r="G34" s="33"/>
      <c r="H34" s="33"/>
      <c r="I34" s="33"/>
      <c r="J34" s="33"/>
    </row>
    <row r="35" spans="1:10" ht="12.75">
      <c r="A35" s="283"/>
      <c r="B35" s="174"/>
      <c r="C35" s="75"/>
      <c r="D35" s="82"/>
      <c r="E35" s="33"/>
      <c r="F35" s="33"/>
      <c r="G35" s="33"/>
      <c r="H35" s="33"/>
      <c r="I35" s="33"/>
      <c r="J35" s="33"/>
    </row>
    <row r="36" spans="1:10" ht="25.5">
      <c r="A36" s="94" t="s">
        <v>55</v>
      </c>
      <c r="B36" s="173" t="s">
        <v>57</v>
      </c>
      <c r="C36" s="75"/>
      <c r="D36" s="82"/>
      <c r="E36" s="33"/>
      <c r="F36" s="33"/>
      <c r="G36" s="33"/>
      <c r="H36" s="33"/>
      <c r="I36" s="33"/>
      <c r="J36" s="33"/>
    </row>
    <row r="37" spans="1:10" ht="12.75">
      <c r="A37" s="84"/>
      <c r="B37" s="78"/>
      <c r="C37" s="33"/>
      <c r="D37" s="73"/>
      <c r="E37" s="33"/>
      <c r="F37" s="33"/>
      <c r="G37" s="33"/>
      <c r="H37" s="33"/>
      <c r="I37" s="33"/>
      <c r="J37" s="33"/>
    </row>
    <row r="38" spans="1:10" ht="12.75">
      <c r="A38" s="79" t="s">
        <v>6</v>
      </c>
      <c r="B38" s="78"/>
      <c r="C38" s="73"/>
      <c r="D38" s="73"/>
      <c r="E38" s="73"/>
      <c r="F38" s="73"/>
      <c r="G38" s="73"/>
      <c r="H38" s="73"/>
      <c r="I38" s="73"/>
      <c r="J38" s="73"/>
    </row>
    <row r="39" spans="1:10" ht="12.75">
      <c r="A39" s="79" t="s">
        <v>7</v>
      </c>
      <c r="B39" s="80" t="s">
        <v>10</v>
      </c>
      <c r="C39" s="85">
        <v>15399</v>
      </c>
      <c r="D39" s="85">
        <v>16749.5</v>
      </c>
      <c r="E39" s="85">
        <v>16292.6</v>
      </c>
      <c r="F39" s="85">
        <v>16495.8</v>
      </c>
      <c r="G39" s="85">
        <v>16495.8</v>
      </c>
      <c r="H39" s="85">
        <v>17271.1</v>
      </c>
      <c r="I39" s="85">
        <v>17910.13</v>
      </c>
      <c r="J39" s="85">
        <v>18626.53</v>
      </c>
    </row>
    <row r="40" spans="1:10" ht="12.75">
      <c r="A40" s="86" t="s">
        <v>16</v>
      </c>
      <c r="B40" s="80" t="s">
        <v>15</v>
      </c>
      <c r="C40" s="87"/>
      <c r="D40" s="87"/>
      <c r="E40" s="85">
        <f>E39/C39*100</f>
        <v>105.80297421910514</v>
      </c>
      <c r="F40" s="85">
        <f>F39/D39*100</f>
        <v>98.48532792023641</v>
      </c>
      <c r="G40" s="85">
        <f>G39/E39*100</f>
        <v>101.24719197672563</v>
      </c>
      <c r="H40" s="85">
        <f>H39/G39*100</f>
        <v>104.6999842384122</v>
      </c>
      <c r="I40" s="85">
        <f>I39/H39*100</f>
        <v>103.6999959469866</v>
      </c>
      <c r="J40" s="85">
        <f>J39/I39*100</f>
        <v>103.99997096615155</v>
      </c>
    </row>
    <row r="41" spans="1:10" ht="12.75">
      <c r="A41" s="83" t="s">
        <v>3</v>
      </c>
      <c r="B41" s="83"/>
      <c r="C41" s="85"/>
      <c r="D41" s="85"/>
      <c r="E41" s="85"/>
      <c r="F41" s="85"/>
      <c r="G41" s="85"/>
      <c r="H41" s="85"/>
      <c r="I41" s="85"/>
      <c r="J41" s="85"/>
    </row>
    <row r="42" spans="1:10" ht="24">
      <c r="A42" s="81" t="s">
        <v>35</v>
      </c>
      <c r="B42" s="76" t="s">
        <v>10</v>
      </c>
      <c r="C42" s="85"/>
      <c r="D42" s="85"/>
      <c r="E42" s="33"/>
      <c r="F42" s="33"/>
      <c r="G42" s="33"/>
      <c r="H42" s="33"/>
      <c r="I42" s="33"/>
      <c r="J42" s="33"/>
    </row>
    <row r="43" spans="1:10" ht="12.75">
      <c r="A43" s="99" t="s">
        <v>16</v>
      </c>
      <c r="B43" s="76"/>
      <c r="C43" s="85"/>
      <c r="D43" s="85"/>
      <c r="E43" s="33" t="e">
        <f>E42/C42*100</f>
        <v>#DIV/0!</v>
      </c>
      <c r="F43" s="33" t="e">
        <f>F42/D42*100</f>
        <v>#DIV/0!</v>
      </c>
      <c r="G43" s="33" t="e">
        <f>G42/E42*100</f>
        <v>#DIV/0!</v>
      </c>
      <c r="H43" s="33" t="e">
        <f>H42/G42*100</f>
        <v>#DIV/0!</v>
      </c>
      <c r="I43" s="33" t="e">
        <f>I42/H42*100</f>
        <v>#DIV/0!</v>
      </c>
      <c r="J43" s="33" t="e">
        <f>J42/I42*100</f>
        <v>#DIV/0!</v>
      </c>
    </row>
    <row r="44" spans="1:10" ht="24.75" customHeight="1">
      <c r="A44" s="81" t="s">
        <v>36</v>
      </c>
      <c r="B44" s="76" t="s">
        <v>10</v>
      </c>
      <c r="C44" s="87"/>
      <c r="D44" s="87"/>
      <c r="E44" s="33"/>
      <c r="F44" s="33"/>
      <c r="G44" s="33"/>
      <c r="H44" s="33"/>
      <c r="I44" s="33"/>
      <c r="J44" s="33"/>
    </row>
    <row r="45" spans="1:10" ht="12.75">
      <c r="A45" s="99" t="s">
        <v>16</v>
      </c>
      <c r="B45" s="76"/>
      <c r="C45" s="85"/>
      <c r="D45" s="85"/>
      <c r="E45" s="33" t="e">
        <f>E44/C44*100</f>
        <v>#DIV/0!</v>
      </c>
      <c r="F45" s="33" t="e">
        <f>F44/D44*100</f>
        <v>#DIV/0!</v>
      </c>
      <c r="G45" s="33" t="e">
        <f>G44/E44*100</f>
        <v>#DIV/0!</v>
      </c>
      <c r="H45" s="33" t="e">
        <f>H44/G44*100</f>
        <v>#DIV/0!</v>
      </c>
      <c r="I45" s="33" t="e">
        <f>I44/H44*100</f>
        <v>#DIV/0!</v>
      </c>
      <c r="J45" s="33" t="e">
        <f>J44/I44*100</f>
        <v>#DIV/0!</v>
      </c>
    </row>
    <row r="46" spans="1:10" ht="12.75">
      <c r="A46" s="81" t="s">
        <v>37</v>
      </c>
      <c r="B46" s="76" t="s">
        <v>10</v>
      </c>
      <c r="C46" s="89"/>
      <c r="D46" s="89"/>
      <c r="E46" s="33"/>
      <c r="F46" s="33"/>
      <c r="G46" s="33"/>
      <c r="H46" s="33"/>
      <c r="I46" s="33"/>
      <c r="J46" s="33"/>
    </row>
    <row r="47" spans="1:10" ht="12.75">
      <c r="A47" s="99" t="s">
        <v>16</v>
      </c>
      <c r="B47" s="76" t="s">
        <v>15</v>
      </c>
      <c r="C47" s="85"/>
      <c r="D47" s="85"/>
      <c r="E47" s="33" t="e">
        <f>E46/C46*100</f>
        <v>#DIV/0!</v>
      </c>
      <c r="F47" s="33" t="e">
        <f>F46/D46*100</f>
        <v>#DIV/0!</v>
      </c>
      <c r="G47" s="33" t="e">
        <f>G46/E46*100</f>
        <v>#DIV/0!</v>
      </c>
      <c r="H47" s="33" t="e">
        <f>H46/G46*100</f>
        <v>#DIV/0!</v>
      </c>
      <c r="I47" s="33" t="e">
        <f>I46/H46*100</f>
        <v>#DIV/0!</v>
      </c>
      <c r="J47" s="33" t="e">
        <f>J46/I46*100</f>
        <v>#DIV/0!</v>
      </c>
    </row>
    <row r="48" spans="1:10" ht="12.75">
      <c r="A48" s="81" t="s">
        <v>38</v>
      </c>
      <c r="B48" s="76" t="s">
        <v>10</v>
      </c>
      <c r="C48" s="90"/>
      <c r="D48" s="90"/>
      <c r="E48" s="33"/>
      <c r="F48" s="33"/>
      <c r="G48" s="33"/>
      <c r="H48" s="33"/>
      <c r="I48" s="33"/>
      <c r="J48" s="33"/>
    </row>
    <row r="49" spans="1:10" ht="12.75">
      <c r="A49" s="99" t="s">
        <v>16</v>
      </c>
      <c r="B49" s="76" t="s">
        <v>15</v>
      </c>
      <c r="C49" s="85"/>
      <c r="D49" s="85"/>
      <c r="E49" s="33" t="e">
        <f>E48/C48*100</f>
        <v>#DIV/0!</v>
      </c>
      <c r="F49" s="33" t="e">
        <f>F48/D48*100</f>
        <v>#DIV/0!</v>
      </c>
      <c r="G49" s="33" t="e">
        <f>G48/E48*100</f>
        <v>#DIV/0!</v>
      </c>
      <c r="H49" s="33" t="e">
        <f>H48/G48*100</f>
        <v>#DIV/0!</v>
      </c>
      <c r="I49" s="33" t="e">
        <f>I48/H48*100</f>
        <v>#DIV/0!</v>
      </c>
      <c r="J49" s="33" t="e">
        <f>J48/I48*100</f>
        <v>#DIV/0!</v>
      </c>
    </row>
    <row r="50" spans="1:10" ht="12.75">
      <c r="A50" s="81" t="s">
        <v>39</v>
      </c>
      <c r="B50" s="76" t="s">
        <v>10</v>
      </c>
      <c r="C50" s="90"/>
      <c r="D50" s="87"/>
      <c r="E50" s="33"/>
      <c r="F50" s="33"/>
      <c r="G50" s="33"/>
      <c r="H50" s="33"/>
      <c r="I50" s="33"/>
      <c r="J50" s="33"/>
    </row>
    <row r="51" spans="1:10" ht="12.75">
      <c r="A51" s="99" t="s">
        <v>16</v>
      </c>
      <c r="B51" s="76" t="s">
        <v>15</v>
      </c>
      <c r="C51" s="85"/>
      <c r="D51" s="85"/>
      <c r="E51" s="33" t="e">
        <f>E50/C50*100</f>
        <v>#DIV/0!</v>
      </c>
      <c r="F51" s="33" t="e">
        <f>F50/D50*100</f>
        <v>#DIV/0!</v>
      </c>
      <c r="G51" s="33" t="e">
        <f>G50/E50*100</f>
        <v>#DIV/0!</v>
      </c>
      <c r="H51" s="33" t="e">
        <f>H50/G50*100</f>
        <v>#DIV/0!</v>
      </c>
      <c r="I51" s="33" t="e">
        <f>I50/H50*100</f>
        <v>#DIV/0!</v>
      </c>
      <c r="J51" s="33" t="e">
        <f>J50/I50*100</f>
        <v>#DIV/0!</v>
      </c>
    </row>
    <row r="52" spans="1:10" ht="24">
      <c r="A52" s="81" t="s">
        <v>40</v>
      </c>
      <c r="B52" s="76" t="s">
        <v>10</v>
      </c>
      <c r="C52" s="90"/>
      <c r="D52" s="90"/>
      <c r="E52" s="33"/>
      <c r="F52" s="33"/>
      <c r="G52" s="33"/>
      <c r="H52" s="33"/>
      <c r="I52" s="33"/>
      <c r="J52" s="33"/>
    </row>
    <row r="53" spans="1:10" ht="12.75">
      <c r="A53" s="99" t="s">
        <v>16</v>
      </c>
      <c r="B53" s="76" t="s">
        <v>15</v>
      </c>
      <c r="C53" s="85"/>
      <c r="D53" s="85"/>
      <c r="E53" s="33" t="e">
        <f>E52/C52*100</f>
        <v>#DIV/0!</v>
      </c>
      <c r="F53" s="33" t="e">
        <f>F52/D52*100</f>
        <v>#DIV/0!</v>
      </c>
      <c r="G53" s="33" t="e">
        <f>G52/E52*100</f>
        <v>#DIV/0!</v>
      </c>
      <c r="H53" s="33" t="e">
        <f>H52/G52*100</f>
        <v>#DIV/0!</v>
      </c>
      <c r="I53" s="33" t="e">
        <f>I52/H52*100</f>
        <v>#DIV/0!</v>
      </c>
      <c r="J53" s="33" t="e">
        <f>J52/I52*100</f>
        <v>#DIV/0!</v>
      </c>
    </row>
    <row r="54" spans="1:10" ht="12.75">
      <c r="A54" s="81" t="s">
        <v>41</v>
      </c>
      <c r="B54" s="76" t="s">
        <v>10</v>
      </c>
      <c r="C54" s="87"/>
      <c r="D54" s="87"/>
      <c r="E54" s="33"/>
      <c r="F54" s="33"/>
      <c r="G54" s="33"/>
      <c r="H54" s="33"/>
      <c r="I54" s="33"/>
      <c r="J54" s="33"/>
    </row>
    <row r="55" spans="1:10" ht="12.75">
      <c r="A55" s="99" t="s">
        <v>16</v>
      </c>
      <c r="B55" s="76" t="s">
        <v>15</v>
      </c>
      <c r="C55" s="85"/>
      <c r="D55" s="85"/>
      <c r="E55" s="33" t="e">
        <f>E54/C54*100</f>
        <v>#DIV/0!</v>
      </c>
      <c r="F55" s="33" t="e">
        <f>F54/D54*100</f>
        <v>#DIV/0!</v>
      </c>
      <c r="G55" s="33" t="e">
        <f>G54/E54*100</f>
        <v>#DIV/0!</v>
      </c>
      <c r="H55" s="33" t="e">
        <f>H54/G54*100</f>
        <v>#DIV/0!</v>
      </c>
      <c r="I55" s="33" t="e">
        <f>I54/H54*100</f>
        <v>#DIV/0!</v>
      </c>
      <c r="J55" s="33" t="e">
        <f>J54/I54*100</f>
        <v>#DIV/0!</v>
      </c>
    </row>
    <row r="56" spans="1:10" ht="48">
      <c r="A56" s="81" t="s">
        <v>42</v>
      </c>
      <c r="B56" s="76" t="s">
        <v>10</v>
      </c>
      <c r="C56" s="90"/>
      <c r="D56" s="90"/>
      <c r="E56" s="33"/>
      <c r="F56" s="33"/>
      <c r="G56" s="33"/>
      <c r="H56" s="33"/>
      <c r="I56" s="33"/>
      <c r="J56" s="33"/>
    </row>
    <row r="57" spans="1:10" ht="12.75">
      <c r="A57" s="99" t="s">
        <v>16</v>
      </c>
      <c r="B57" s="76" t="s">
        <v>15</v>
      </c>
      <c r="C57" s="85"/>
      <c r="D57" s="85"/>
      <c r="E57" s="33" t="e">
        <f>E56/C56*100</f>
        <v>#DIV/0!</v>
      </c>
      <c r="F57" s="33" t="e">
        <f>F56/D56*100</f>
        <v>#DIV/0!</v>
      </c>
      <c r="G57" s="33" t="e">
        <f>G56/E56*100</f>
        <v>#DIV/0!</v>
      </c>
      <c r="H57" s="33" t="e">
        <f>H56/G56*100</f>
        <v>#DIV/0!</v>
      </c>
      <c r="I57" s="33" t="e">
        <f>I56/H56*100</f>
        <v>#DIV/0!</v>
      </c>
      <c r="J57" s="33" t="e">
        <f>J56/I56*100</f>
        <v>#DIV/0!</v>
      </c>
    </row>
    <row r="58" spans="1:10" ht="12.75">
      <c r="A58" s="81" t="s">
        <v>43</v>
      </c>
      <c r="B58" s="76" t="s">
        <v>10</v>
      </c>
      <c r="C58" s="87"/>
      <c r="D58" s="87"/>
      <c r="E58" s="33"/>
      <c r="F58" s="33"/>
      <c r="G58" s="33"/>
      <c r="H58" s="33"/>
      <c r="I58" s="33"/>
      <c r="J58" s="33"/>
    </row>
    <row r="59" spans="1:10" ht="48">
      <c r="A59" s="81" t="s">
        <v>44</v>
      </c>
      <c r="B59" s="76" t="s">
        <v>10</v>
      </c>
      <c r="C59" s="90"/>
      <c r="D59" s="90"/>
      <c r="E59" s="33"/>
      <c r="F59" s="33"/>
      <c r="G59" s="33"/>
      <c r="H59" s="33"/>
      <c r="I59" s="33"/>
      <c r="J59" s="33"/>
    </row>
    <row r="60" spans="1:10" ht="12.75">
      <c r="A60" s="99" t="s">
        <v>16</v>
      </c>
      <c r="B60" s="76" t="s">
        <v>15</v>
      </c>
      <c r="C60" s="85"/>
      <c r="D60" s="85"/>
      <c r="E60" s="33" t="e">
        <f>E59/C59*100</f>
        <v>#DIV/0!</v>
      </c>
      <c r="F60" s="33" t="e">
        <f>F59/D59*100</f>
        <v>#DIV/0!</v>
      </c>
      <c r="G60" s="33" t="e">
        <f>G59/E59*100</f>
        <v>#DIV/0!</v>
      </c>
      <c r="H60" s="33" t="e">
        <f>H59/G59*100</f>
        <v>#DIV/0!</v>
      </c>
      <c r="I60" s="33" t="e">
        <f>I59/H59*100</f>
        <v>#DIV/0!</v>
      </c>
      <c r="J60" s="33" t="e">
        <f>J59/I59*100</f>
        <v>#DIV/0!</v>
      </c>
    </row>
    <row r="61" spans="1:10" ht="49.5" customHeight="1">
      <c r="A61" s="81" t="s">
        <v>45</v>
      </c>
      <c r="B61" s="76" t="s">
        <v>10</v>
      </c>
      <c r="C61" s="87"/>
      <c r="D61" s="87"/>
      <c r="E61" s="33"/>
      <c r="F61" s="33"/>
      <c r="G61" s="33"/>
      <c r="H61" s="33"/>
      <c r="I61" s="33"/>
      <c r="J61" s="33"/>
    </row>
    <row r="62" spans="1:10" ht="18" customHeight="1">
      <c r="A62" s="99" t="s">
        <v>16</v>
      </c>
      <c r="B62" s="76" t="s">
        <v>15</v>
      </c>
      <c r="C62" s="85"/>
      <c r="D62" s="85"/>
      <c r="E62" s="33" t="e">
        <f>E61/C61*100</f>
        <v>#DIV/0!</v>
      </c>
      <c r="F62" s="33" t="e">
        <f>F61/D61*100</f>
        <v>#DIV/0!</v>
      </c>
      <c r="G62" s="33" t="e">
        <f>G61/E61*100</f>
        <v>#DIV/0!</v>
      </c>
      <c r="H62" s="33" t="e">
        <f>H61/G61*100</f>
        <v>#DIV/0!</v>
      </c>
      <c r="I62" s="33" t="e">
        <f>I61/H61*100</f>
        <v>#DIV/0!</v>
      </c>
      <c r="J62" s="33" t="e">
        <f>J61/I61*100</f>
        <v>#DIV/0!</v>
      </c>
    </row>
    <row r="63" spans="1:10" ht="12.75">
      <c r="A63" s="81" t="s">
        <v>46</v>
      </c>
      <c r="B63" s="76" t="s">
        <v>10</v>
      </c>
      <c r="C63" s="90"/>
      <c r="D63" s="90"/>
      <c r="E63" s="33"/>
      <c r="F63" s="33"/>
      <c r="G63" s="33"/>
      <c r="H63" s="33"/>
      <c r="I63" s="33"/>
      <c r="J63" s="33"/>
    </row>
    <row r="64" spans="1:10" ht="12.75">
      <c r="A64" s="99" t="s">
        <v>16</v>
      </c>
      <c r="B64" s="76" t="s">
        <v>15</v>
      </c>
      <c r="C64" s="85"/>
      <c r="D64" s="85"/>
      <c r="E64" s="33" t="e">
        <f>E63/C63*100</f>
        <v>#DIV/0!</v>
      </c>
      <c r="F64" s="33" t="e">
        <f>F63/D63*100</f>
        <v>#DIV/0!</v>
      </c>
      <c r="G64" s="33" t="e">
        <f>G63/E63*100</f>
        <v>#DIV/0!</v>
      </c>
      <c r="H64" s="33" t="e">
        <f>H63/G63*100</f>
        <v>#DIV/0!</v>
      </c>
      <c r="I64" s="33" t="e">
        <f>I63/H63*100</f>
        <v>#DIV/0!</v>
      </c>
      <c r="J64" s="33" t="e">
        <f>J63/I63*100</f>
        <v>#DIV/0!</v>
      </c>
    </row>
    <row r="65" spans="1:10" ht="12.75">
      <c r="A65" s="81" t="s">
        <v>47</v>
      </c>
      <c r="B65" s="76" t="s">
        <v>10</v>
      </c>
      <c r="C65" s="87"/>
      <c r="D65" s="87"/>
      <c r="E65" s="33"/>
      <c r="F65" s="33"/>
      <c r="G65" s="33"/>
      <c r="H65" s="33"/>
      <c r="I65" s="33"/>
      <c r="J65" s="33"/>
    </row>
    <row r="66" spans="1:10" ht="12.75">
      <c r="A66" s="99" t="s">
        <v>16</v>
      </c>
      <c r="B66" s="76" t="s">
        <v>15</v>
      </c>
      <c r="C66" s="85"/>
      <c r="D66" s="85"/>
      <c r="E66" s="33" t="e">
        <f>E65/C65*100</f>
        <v>#DIV/0!</v>
      </c>
      <c r="F66" s="33" t="e">
        <f>F65/D65*100</f>
        <v>#DIV/0!</v>
      </c>
      <c r="G66" s="33" t="e">
        <f>G65/E65*100</f>
        <v>#DIV/0!</v>
      </c>
      <c r="H66" s="33" t="e">
        <f>H65/G65*100</f>
        <v>#DIV/0!</v>
      </c>
      <c r="I66" s="33" t="e">
        <f>I65/H65*100</f>
        <v>#DIV/0!</v>
      </c>
      <c r="J66" s="33" t="e">
        <f>J65/I65*100</f>
        <v>#DIV/0!</v>
      </c>
    </row>
    <row r="67" spans="1:10" ht="12.75">
      <c r="A67" s="81" t="s">
        <v>48</v>
      </c>
      <c r="B67" s="76" t="s">
        <v>10</v>
      </c>
      <c r="C67" s="90"/>
      <c r="D67" s="90"/>
      <c r="E67" s="33"/>
      <c r="F67" s="33"/>
      <c r="G67" s="33"/>
      <c r="H67" s="33"/>
      <c r="I67" s="33"/>
      <c r="J67" s="33"/>
    </row>
    <row r="68" spans="1:10" ht="12.75">
      <c r="A68" s="99" t="s">
        <v>16</v>
      </c>
      <c r="B68" s="76" t="s">
        <v>15</v>
      </c>
      <c r="C68" s="85"/>
      <c r="D68" s="85"/>
      <c r="E68" s="33" t="e">
        <f>E67/C67*100</f>
        <v>#DIV/0!</v>
      </c>
      <c r="F68" s="33" t="e">
        <f>F67/D67*100</f>
        <v>#DIV/0!</v>
      </c>
      <c r="G68" s="33" t="e">
        <f>G67/E67*100</f>
        <v>#DIV/0!</v>
      </c>
      <c r="H68" s="33" t="e">
        <f>H67/G67*100</f>
        <v>#DIV/0!</v>
      </c>
      <c r="I68" s="33" t="e">
        <f>I67/H67*100</f>
        <v>#DIV/0!</v>
      </c>
      <c r="J68" s="33" t="e">
        <f>J67/I67*100</f>
        <v>#DIV/0!</v>
      </c>
    </row>
    <row r="69" spans="1:10" ht="12.75">
      <c r="A69" s="81" t="s">
        <v>49</v>
      </c>
      <c r="B69" s="76" t="s">
        <v>10</v>
      </c>
      <c r="C69" s="87"/>
      <c r="D69" s="87"/>
      <c r="E69" s="33"/>
      <c r="F69" s="33"/>
      <c r="G69" s="33"/>
      <c r="H69" s="33"/>
      <c r="I69" s="33"/>
      <c r="J69" s="33"/>
    </row>
    <row r="70" spans="1:10" ht="12.75">
      <c r="A70" s="99" t="s">
        <v>16</v>
      </c>
      <c r="B70" s="76" t="s">
        <v>15</v>
      </c>
      <c r="C70" s="85"/>
      <c r="D70" s="85"/>
      <c r="E70" s="33" t="e">
        <f>E69/C69*100</f>
        <v>#DIV/0!</v>
      </c>
      <c r="F70" s="33" t="e">
        <f>F69/D69*100</f>
        <v>#DIV/0!</v>
      </c>
      <c r="G70" s="33" t="e">
        <f>G69/E69*100</f>
        <v>#DIV/0!</v>
      </c>
      <c r="H70" s="33" t="e">
        <f>H69/G69*100</f>
        <v>#DIV/0!</v>
      </c>
      <c r="I70" s="33" t="e">
        <f>I69/H69*100</f>
        <v>#DIV/0!</v>
      </c>
      <c r="J70" s="33" t="e">
        <f>J69/I69*100</f>
        <v>#DIV/0!</v>
      </c>
    </row>
    <row r="71" spans="1:10" ht="24.75" customHeight="1">
      <c r="A71" s="81" t="s">
        <v>50</v>
      </c>
      <c r="B71" s="76" t="s">
        <v>10</v>
      </c>
      <c r="C71" s="89"/>
      <c r="D71" s="89"/>
      <c r="E71" s="33"/>
      <c r="F71" s="33"/>
      <c r="G71" s="33"/>
      <c r="H71" s="33"/>
      <c r="I71" s="33"/>
      <c r="J71" s="33"/>
    </row>
    <row r="72" spans="1:10" ht="18" customHeight="1">
      <c r="A72" s="99" t="s">
        <v>16</v>
      </c>
      <c r="B72" s="76" t="s">
        <v>15</v>
      </c>
      <c r="C72" s="85"/>
      <c r="D72" s="85"/>
      <c r="E72" s="33" t="e">
        <f>E71/C71*100</f>
        <v>#DIV/0!</v>
      </c>
      <c r="F72" s="33" t="e">
        <f>F71/D71*100</f>
        <v>#DIV/0!</v>
      </c>
      <c r="G72" s="33" t="e">
        <f>G71/E71*100</f>
        <v>#DIV/0!</v>
      </c>
      <c r="H72" s="33" t="e">
        <f>H71/G71*100</f>
        <v>#DIV/0!</v>
      </c>
      <c r="I72" s="33" t="e">
        <f>I71/H71*100</f>
        <v>#DIV/0!</v>
      </c>
      <c r="J72" s="33" t="e">
        <f>J71/I71*100</f>
        <v>#DIV/0!</v>
      </c>
    </row>
    <row r="73" spans="1:10" ht="48">
      <c r="A73" s="81" t="s">
        <v>51</v>
      </c>
      <c r="B73" s="76" t="s">
        <v>10</v>
      </c>
      <c r="C73" s="85"/>
      <c r="D73" s="85"/>
      <c r="E73" s="33"/>
      <c r="F73" s="33"/>
      <c r="G73" s="33"/>
      <c r="H73" s="33"/>
      <c r="I73" s="33"/>
      <c r="J73" s="33"/>
    </row>
    <row r="74" spans="1:10" ht="12.75">
      <c r="A74" s="99" t="s">
        <v>16</v>
      </c>
      <c r="B74" s="76" t="s">
        <v>15</v>
      </c>
      <c r="C74" s="85"/>
      <c r="D74" s="85"/>
      <c r="E74" s="33" t="e">
        <f>E73/C73*100</f>
        <v>#DIV/0!</v>
      </c>
      <c r="F74" s="33" t="e">
        <f>F73/D73*100</f>
        <v>#DIV/0!</v>
      </c>
      <c r="G74" s="33" t="e">
        <f>G73/E73*100</f>
        <v>#DIV/0!</v>
      </c>
      <c r="H74" s="33" t="e">
        <f>H73/G73*100</f>
        <v>#DIV/0!</v>
      </c>
      <c r="I74" s="33" t="e">
        <f>I73/H73*100</f>
        <v>#DIV/0!</v>
      </c>
      <c r="J74" s="33" t="e">
        <f>J73/I73*100</f>
        <v>#DIV/0!</v>
      </c>
    </row>
    <row r="75" spans="1:10" ht="12.75">
      <c r="A75" s="81" t="s">
        <v>52</v>
      </c>
      <c r="B75" s="76" t="s">
        <v>10</v>
      </c>
      <c r="C75" s="87"/>
      <c r="D75" s="87"/>
      <c r="E75" s="33"/>
      <c r="F75" s="33"/>
      <c r="G75" s="33"/>
      <c r="H75" s="33"/>
      <c r="I75" s="33"/>
      <c r="J75" s="33"/>
    </row>
    <row r="76" spans="1:10" ht="12.75">
      <c r="A76" s="99" t="s">
        <v>16</v>
      </c>
      <c r="B76" s="76" t="s">
        <v>15</v>
      </c>
      <c r="C76" s="85"/>
      <c r="D76" s="85"/>
      <c r="E76" s="33" t="e">
        <f>E75/C75*100</f>
        <v>#DIV/0!</v>
      </c>
      <c r="F76" s="33" t="e">
        <f>F75/D75*100</f>
        <v>#DIV/0!</v>
      </c>
      <c r="G76" s="33" t="e">
        <f>G75/E75*100</f>
        <v>#DIV/0!</v>
      </c>
      <c r="H76" s="33" t="e">
        <f>H75/G75*100</f>
        <v>#DIV/0!</v>
      </c>
      <c r="I76" s="33" t="e">
        <f>I75/H75*100</f>
        <v>#DIV/0!</v>
      </c>
      <c r="J76" s="33" t="e">
        <f>J75/I75*100</f>
        <v>#DIV/0!</v>
      </c>
    </row>
    <row r="77" spans="1:10" ht="24">
      <c r="A77" s="81" t="s">
        <v>53</v>
      </c>
      <c r="B77" s="76" t="s">
        <v>10</v>
      </c>
      <c r="C77" s="90"/>
      <c r="D77" s="90"/>
      <c r="E77" s="33"/>
      <c r="F77" s="33"/>
      <c r="G77" s="33"/>
      <c r="H77" s="33"/>
      <c r="I77" s="33"/>
      <c r="J77" s="33"/>
    </row>
    <row r="78" spans="1:10" ht="12.75">
      <c r="A78" s="99" t="s">
        <v>16</v>
      </c>
      <c r="B78" s="76" t="s">
        <v>15</v>
      </c>
      <c r="C78" s="85"/>
      <c r="D78" s="85"/>
      <c r="E78" s="33" t="e">
        <f>E77/C77*100</f>
        <v>#DIV/0!</v>
      </c>
      <c r="F78" s="33" t="e">
        <f>F77/D77*100</f>
        <v>#DIV/0!</v>
      </c>
      <c r="G78" s="33" t="e">
        <f>G77/E77*100</f>
        <v>#DIV/0!</v>
      </c>
      <c r="H78" s="33" t="e">
        <f>H77/G77*100</f>
        <v>#DIV/0!</v>
      </c>
      <c r="I78" s="33" t="e">
        <f>I77/H77*100</f>
        <v>#DIV/0!</v>
      </c>
      <c r="J78" s="33" t="e">
        <f>J77/I77*100</f>
        <v>#DIV/0!</v>
      </c>
    </row>
    <row r="79" spans="1:10" ht="36">
      <c r="A79" s="81" t="s">
        <v>54</v>
      </c>
      <c r="B79" s="76" t="s">
        <v>10</v>
      </c>
      <c r="C79" s="90"/>
      <c r="D79" s="90"/>
      <c r="E79" s="33"/>
      <c r="F79" s="33"/>
      <c r="G79" s="33"/>
      <c r="H79" s="33"/>
      <c r="I79" s="33"/>
      <c r="J79" s="33"/>
    </row>
    <row r="80" spans="1:10" ht="12.75">
      <c r="A80" s="99" t="s">
        <v>16</v>
      </c>
      <c r="B80" s="76" t="s">
        <v>15</v>
      </c>
      <c r="C80" s="85"/>
      <c r="D80" s="85"/>
      <c r="E80" s="33" t="e">
        <f>E79/C79*100</f>
        <v>#DIV/0!</v>
      </c>
      <c r="F80" s="33" t="e">
        <f>F79/D79*100</f>
        <v>#DIV/0!</v>
      </c>
      <c r="G80" s="33" t="e">
        <f>G79/E79*100</f>
        <v>#DIV/0!</v>
      </c>
      <c r="H80" s="33" t="e">
        <f>H79/G79*100</f>
        <v>#DIV/0!</v>
      </c>
      <c r="I80" s="33" t="e">
        <f>I79/H79*100</f>
        <v>#DIV/0!</v>
      </c>
      <c r="J80" s="33" t="e">
        <f>J79/I79*100</f>
        <v>#DIV/0!</v>
      </c>
    </row>
    <row r="81" spans="1:10" ht="12.75">
      <c r="A81" s="81"/>
      <c r="B81" s="76"/>
      <c r="C81" s="90"/>
      <c r="D81" s="90"/>
      <c r="E81" s="33"/>
      <c r="F81" s="33"/>
      <c r="G81" s="33"/>
      <c r="H81" s="33"/>
      <c r="I81" s="33"/>
      <c r="J81" s="33"/>
    </row>
    <row r="82" spans="1:10" ht="38.25">
      <c r="A82" s="94" t="s">
        <v>60</v>
      </c>
      <c r="B82" s="76" t="s">
        <v>10</v>
      </c>
      <c r="C82" s="90"/>
      <c r="D82" s="90"/>
      <c r="E82" s="33"/>
      <c r="F82" s="33"/>
      <c r="G82" s="33"/>
      <c r="H82" s="33"/>
      <c r="I82" s="33"/>
      <c r="J82" s="33"/>
    </row>
    <row r="83" spans="1:10" ht="12.75">
      <c r="A83" s="208" t="s">
        <v>16</v>
      </c>
      <c r="B83" s="76" t="s">
        <v>15</v>
      </c>
      <c r="C83" s="85"/>
      <c r="D83" s="85"/>
      <c r="E83" s="33" t="e">
        <f>E82/C82*100</f>
        <v>#DIV/0!</v>
      </c>
      <c r="F83" s="33" t="e">
        <f>F82/D82*100</f>
        <v>#DIV/0!</v>
      </c>
      <c r="G83" s="33" t="e">
        <f>G82/E82*100</f>
        <v>#DIV/0!</v>
      </c>
      <c r="H83" s="33" t="e">
        <f>H82/G82*100</f>
        <v>#DIV/0!</v>
      </c>
      <c r="I83" s="33" t="e">
        <f>I82/H82*100</f>
        <v>#DIV/0!</v>
      </c>
      <c r="J83" s="33" t="e">
        <f>J82/I82*100</f>
        <v>#DIV/0!</v>
      </c>
    </row>
    <row r="84" spans="1:10" ht="12.75">
      <c r="A84" s="94"/>
      <c r="B84" s="76"/>
      <c r="C84" s="90"/>
      <c r="D84" s="90"/>
      <c r="E84" s="33"/>
      <c r="F84" s="33"/>
      <c r="G84" s="33"/>
      <c r="H84" s="33"/>
      <c r="I84" s="33"/>
      <c r="J84" s="33"/>
    </row>
    <row r="85" spans="1:10" ht="25.5">
      <c r="A85" s="94" t="s">
        <v>56</v>
      </c>
      <c r="B85" s="76" t="s">
        <v>10</v>
      </c>
      <c r="C85" s="90"/>
      <c r="D85" s="90"/>
      <c r="E85" s="33"/>
      <c r="F85" s="33"/>
      <c r="G85" s="33"/>
      <c r="H85" s="33"/>
      <c r="I85" s="33"/>
      <c r="J85" s="33"/>
    </row>
    <row r="86" spans="1:10" ht="12.75">
      <c r="A86" s="99" t="s">
        <v>16</v>
      </c>
      <c r="B86" s="76" t="s">
        <v>15</v>
      </c>
      <c r="C86" s="85"/>
      <c r="D86" s="85"/>
      <c r="E86" s="33" t="e">
        <f>E85/C85*100</f>
        <v>#DIV/0!</v>
      </c>
      <c r="F86" s="33" t="e">
        <f>F85/D85*100</f>
        <v>#DIV/0!</v>
      </c>
      <c r="G86" s="33" t="e">
        <f>G85/E85*100</f>
        <v>#DIV/0!</v>
      </c>
      <c r="H86" s="33" t="e">
        <f>H85/G85*100</f>
        <v>#DIV/0!</v>
      </c>
      <c r="I86" s="33" t="e">
        <f>I85/H85*100</f>
        <v>#DIV/0!</v>
      </c>
      <c r="J86" s="33" t="e">
        <f>J85/I85*100</f>
        <v>#DIV/0!</v>
      </c>
    </row>
    <row r="87" spans="1:10" ht="12.75">
      <c r="A87" s="95"/>
      <c r="B87" s="76"/>
      <c r="C87" s="90"/>
      <c r="D87" s="90"/>
      <c r="E87" s="89"/>
      <c r="F87" s="89"/>
      <c r="G87" s="89"/>
      <c r="H87" s="89"/>
      <c r="I87" s="89"/>
      <c r="J87" s="89"/>
    </row>
    <row r="88" spans="1:10" ht="12.75">
      <c r="A88" s="83" t="s">
        <v>8</v>
      </c>
      <c r="B88" s="78"/>
      <c r="C88" s="89"/>
      <c r="D88" s="73"/>
      <c r="E88" s="89"/>
      <c r="F88" s="89"/>
      <c r="G88" s="89"/>
      <c r="H88" s="89"/>
      <c r="I88" s="89"/>
      <c r="J88" s="89"/>
    </row>
    <row r="89" spans="1:10" ht="12.75">
      <c r="A89" s="83" t="s">
        <v>9</v>
      </c>
      <c r="B89" s="80" t="s">
        <v>11</v>
      </c>
      <c r="C89" s="85">
        <v>38698.23</v>
      </c>
      <c r="D89" s="85">
        <v>8962.22</v>
      </c>
      <c r="E89" s="85">
        <v>39878.41</v>
      </c>
      <c r="F89" s="85">
        <v>9913.99</v>
      </c>
      <c r="G89" s="85">
        <v>42571.05</v>
      </c>
      <c r="H89" s="85">
        <v>45061.23</v>
      </c>
      <c r="I89" s="85">
        <v>48854.49</v>
      </c>
      <c r="J89" s="85">
        <v>53751.7</v>
      </c>
    </row>
    <row r="90" spans="1:10" ht="12.75">
      <c r="A90" s="78" t="s">
        <v>3</v>
      </c>
      <c r="B90" s="78"/>
      <c r="C90" s="89"/>
      <c r="D90" s="89"/>
      <c r="E90" s="89"/>
      <c r="F90" s="89"/>
      <c r="G90" s="89"/>
      <c r="H90" s="89"/>
      <c r="I90" s="89"/>
      <c r="J90" s="89"/>
    </row>
    <row r="91" spans="1:10" ht="24">
      <c r="A91" s="81" t="s">
        <v>35</v>
      </c>
      <c r="B91" s="76" t="s">
        <v>11</v>
      </c>
      <c r="C91" s="96">
        <f>C13*C42*12/1000</f>
        <v>0</v>
      </c>
      <c r="D91" s="96">
        <f>D13*D42*3/1000</f>
        <v>0</v>
      </c>
      <c r="E91" s="96">
        <f>E13*E42*12/1000</f>
        <v>0</v>
      </c>
      <c r="F91" s="96">
        <f>F13*F42*3/1000</f>
        <v>0</v>
      </c>
      <c r="G91" s="96">
        <f>G13*G42*12/1000</f>
        <v>0</v>
      </c>
      <c r="H91" s="96">
        <f>H13*H42*12/1000</f>
        <v>0</v>
      </c>
      <c r="I91" s="96">
        <f>I13*I42*12/1000</f>
        <v>0</v>
      </c>
      <c r="J91" s="96">
        <f>J13*J42*12/1000</f>
        <v>0</v>
      </c>
    </row>
    <row r="92" spans="1:10" ht="24">
      <c r="A92" s="81" t="s">
        <v>36</v>
      </c>
      <c r="B92" s="76" t="s">
        <v>11</v>
      </c>
      <c r="C92" s="96">
        <f>C14*C44*12/1000</f>
        <v>0</v>
      </c>
      <c r="D92" s="96">
        <f>D14*D44*3/1000</f>
        <v>0</v>
      </c>
      <c r="E92" s="96">
        <f>E14*E44*12/1000</f>
        <v>0</v>
      </c>
      <c r="F92" s="96">
        <f>F14*F44*3/1000</f>
        <v>0</v>
      </c>
      <c r="G92" s="96">
        <f>G14*G44*12/1000</f>
        <v>0</v>
      </c>
      <c r="H92" s="96">
        <f>H14*H44*12/1000</f>
        <v>0</v>
      </c>
      <c r="I92" s="96">
        <f>I14*I44*12/1000</f>
        <v>0</v>
      </c>
      <c r="J92" s="96">
        <f>J14*J44*12/1000</f>
        <v>0</v>
      </c>
    </row>
    <row r="93" spans="1:10" ht="12.75">
      <c r="A93" s="81" t="s">
        <v>37</v>
      </c>
      <c r="B93" s="76" t="s">
        <v>11</v>
      </c>
      <c r="C93" s="96">
        <f>C15*C46*12/1000</f>
        <v>0</v>
      </c>
      <c r="D93" s="147">
        <f>D15*D46*3/1000</f>
        <v>0</v>
      </c>
      <c r="E93" s="96">
        <f>E15*E46*12/1000</f>
        <v>0</v>
      </c>
      <c r="F93" s="147">
        <f>F15*F46*3/1000</f>
        <v>0</v>
      </c>
      <c r="G93" s="96">
        <f>G15*G46*12/1000</f>
        <v>0</v>
      </c>
      <c r="H93" s="96">
        <f>H15*H46*12/1000</f>
        <v>0</v>
      </c>
      <c r="I93" s="96">
        <f>I15*I46*12/1000</f>
        <v>0</v>
      </c>
      <c r="J93" s="96">
        <f>J15*J46*12/1000</f>
        <v>0</v>
      </c>
    </row>
    <row r="94" spans="1:10" ht="12.75">
      <c r="A94" s="81" t="s">
        <v>38</v>
      </c>
      <c r="B94" s="76" t="s">
        <v>11</v>
      </c>
      <c r="C94" s="96">
        <f>C16*C48*12/1000</f>
        <v>0</v>
      </c>
      <c r="D94" s="147">
        <f>D16*D48*3/1000</f>
        <v>0</v>
      </c>
      <c r="E94" s="96">
        <f>E16*E48*12/1000</f>
        <v>0</v>
      </c>
      <c r="F94" s="147">
        <f>F16*F48*3/1000</f>
        <v>0</v>
      </c>
      <c r="G94" s="96">
        <f>G16*G48*12/1000</f>
        <v>0</v>
      </c>
      <c r="H94" s="96">
        <f>H16*H48*12/1000</f>
        <v>0</v>
      </c>
      <c r="I94" s="96">
        <f>I16*I48*12/1000</f>
        <v>0</v>
      </c>
      <c r="J94" s="96">
        <f>J16*J48*12/1000</f>
        <v>0</v>
      </c>
    </row>
    <row r="95" spans="1:10" ht="12.75">
      <c r="A95" s="81" t="s">
        <v>39</v>
      </c>
      <c r="B95" s="76" t="s">
        <v>11</v>
      </c>
      <c r="C95" s="96">
        <f>C17*C50*12/1000</f>
        <v>0</v>
      </c>
      <c r="D95" s="147">
        <f>D17*D50*3/1000</f>
        <v>0</v>
      </c>
      <c r="E95" s="96">
        <f>E17*E50*12/1000</f>
        <v>0</v>
      </c>
      <c r="F95" s="147">
        <f>F17*F50*3/1000</f>
        <v>0</v>
      </c>
      <c r="G95" s="96">
        <f>G17*G50*12/1000</f>
        <v>0</v>
      </c>
      <c r="H95" s="96">
        <f>H17*H50*12/1000</f>
        <v>0</v>
      </c>
      <c r="I95" s="96">
        <f>I17*I50*12/1000</f>
        <v>0</v>
      </c>
      <c r="J95" s="96">
        <f>J17*J50*12/1000</f>
        <v>0</v>
      </c>
    </row>
    <row r="96" spans="1:10" ht="24">
      <c r="A96" s="81" t="s">
        <v>40</v>
      </c>
      <c r="B96" s="76" t="s">
        <v>11</v>
      </c>
      <c r="C96" s="96">
        <f>C18*C52*12/1000</f>
        <v>0</v>
      </c>
      <c r="D96" s="147">
        <f>D18*D52*3/1000</f>
        <v>0</v>
      </c>
      <c r="E96" s="96">
        <f>E18*E52*12/1000</f>
        <v>0</v>
      </c>
      <c r="F96" s="147">
        <f>F18*F52*3/1000</f>
        <v>0</v>
      </c>
      <c r="G96" s="96">
        <f>G18*G52*12/1000</f>
        <v>0</v>
      </c>
      <c r="H96" s="96">
        <f>H18*H52*12/1000</f>
        <v>0</v>
      </c>
      <c r="I96" s="96">
        <f>I18*I52*12/1000</f>
        <v>0</v>
      </c>
      <c r="J96" s="96">
        <f>J18*J52*12/1000</f>
        <v>0</v>
      </c>
    </row>
    <row r="97" spans="1:10" ht="12.75">
      <c r="A97" s="81" t="s">
        <v>41</v>
      </c>
      <c r="B97" s="76" t="s">
        <v>11</v>
      </c>
      <c r="C97" s="96">
        <f>C19*C54*12/1000</f>
        <v>0</v>
      </c>
      <c r="D97" s="147">
        <f>D19*D54*3/1000</f>
        <v>0</v>
      </c>
      <c r="E97" s="96">
        <f>E19*E54*12/1000</f>
        <v>0</v>
      </c>
      <c r="F97" s="147">
        <f>F19*F54*3/1000</f>
        <v>0</v>
      </c>
      <c r="G97" s="96">
        <f>G19*G54*12/1000</f>
        <v>0</v>
      </c>
      <c r="H97" s="96">
        <f>H19*H54*12/1000</f>
        <v>0</v>
      </c>
      <c r="I97" s="96">
        <f>I19*I54*12/1000</f>
        <v>0</v>
      </c>
      <c r="J97" s="96">
        <f>J19*J54*12/1000</f>
        <v>0</v>
      </c>
    </row>
    <row r="98" spans="1:10" ht="48">
      <c r="A98" s="81" t="s">
        <v>42</v>
      </c>
      <c r="B98" s="76" t="s">
        <v>11</v>
      </c>
      <c r="C98" s="96">
        <f>C20*C56*12/1000</f>
        <v>0</v>
      </c>
      <c r="D98" s="96">
        <f>D20*D56*3/1000</f>
        <v>0</v>
      </c>
      <c r="E98" s="96">
        <f>E20*E56*12/1000</f>
        <v>0</v>
      </c>
      <c r="F98" s="147">
        <f>F20*F56*3/1000</f>
        <v>0</v>
      </c>
      <c r="G98" s="96">
        <f>G20*G56*12/1000</f>
        <v>0</v>
      </c>
      <c r="H98" s="96">
        <f>H20*H56*12/1000</f>
        <v>0</v>
      </c>
      <c r="I98" s="96">
        <f>I20*I56*12/1000</f>
        <v>0</v>
      </c>
      <c r="J98" s="96">
        <f>J20*J56*12/1000</f>
        <v>0</v>
      </c>
    </row>
    <row r="99" spans="1:10" ht="12.75">
      <c r="A99" s="81" t="s">
        <v>43</v>
      </c>
      <c r="B99" s="88"/>
      <c r="C99" s="89"/>
      <c r="D99" s="96"/>
      <c r="E99" s="96"/>
      <c r="F99" s="147"/>
      <c r="G99" s="89"/>
      <c r="H99" s="89"/>
      <c r="I99" s="89"/>
      <c r="J99" s="89"/>
    </row>
    <row r="100" spans="1:10" ht="48">
      <c r="A100" s="81" t="s">
        <v>44</v>
      </c>
      <c r="B100" s="76" t="s">
        <v>11</v>
      </c>
      <c r="C100" s="96">
        <f>C22*C59*12/1000</f>
        <v>0</v>
      </c>
      <c r="D100" s="96">
        <f>D22*D59*3/1000</f>
        <v>0</v>
      </c>
      <c r="E100" s="96">
        <f>E22*E59*12/1000</f>
        <v>0</v>
      </c>
      <c r="F100" s="147">
        <f>F22*F59*3/1000</f>
        <v>0</v>
      </c>
      <c r="G100" s="96">
        <f>G22*G59*12/1000</f>
        <v>0</v>
      </c>
      <c r="H100" s="96">
        <f>H22*H59*12/1000</f>
        <v>0</v>
      </c>
      <c r="I100" s="96">
        <f>I22*I59*12/1000</f>
        <v>0</v>
      </c>
      <c r="J100" s="96">
        <f>J22*J59*12/1000</f>
        <v>0</v>
      </c>
    </row>
    <row r="101" spans="1:10" ht="49.5" customHeight="1">
      <c r="A101" s="98" t="s">
        <v>45</v>
      </c>
      <c r="B101" s="76" t="s">
        <v>11</v>
      </c>
      <c r="C101" s="96">
        <f>C23*C61*12/1000</f>
        <v>0</v>
      </c>
      <c r="D101" s="96">
        <f>D23*D61*3/1000</f>
        <v>0</v>
      </c>
      <c r="E101" s="96">
        <f>E23*E61*12/1000</f>
        <v>0</v>
      </c>
      <c r="F101" s="147">
        <f>F23*F61*3/1000</f>
        <v>0</v>
      </c>
      <c r="G101" s="96">
        <f>G23*G61*12/1000</f>
        <v>0</v>
      </c>
      <c r="H101" s="96">
        <f>H23*H61*12/1000</f>
        <v>0</v>
      </c>
      <c r="I101" s="96">
        <f>I23*I61*12/1000</f>
        <v>0</v>
      </c>
      <c r="J101" s="96">
        <f>J23*J61*12/1000</f>
        <v>0</v>
      </c>
    </row>
    <row r="102" spans="1:10" ht="12.75">
      <c r="A102" s="81" t="s">
        <v>46</v>
      </c>
      <c r="B102" s="76" t="s">
        <v>11</v>
      </c>
      <c r="C102" s="97">
        <f>C24*C63*12/1000</f>
        <v>0</v>
      </c>
      <c r="D102" s="96">
        <f>D24*D63*3/1000</f>
        <v>0</v>
      </c>
      <c r="E102" s="96">
        <f>E24*E63*12/1000</f>
        <v>0</v>
      </c>
      <c r="F102" s="147">
        <f>F24*F63*3/1000</f>
        <v>0</v>
      </c>
      <c r="G102" s="97">
        <f>G24*G63*12/1000</f>
        <v>0</v>
      </c>
      <c r="H102" s="97">
        <f>H24*H63*12/1000</f>
        <v>0</v>
      </c>
      <c r="I102" s="97">
        <f>I24*I63*12/1000</f>
        <v>0</v>
      </c>
      <c r="J102" s="97">
        <f>J24*J63*12/1000</f>
        <v>0</v>
      </c>
    </row>
    <row r="103" spans="1:10" ht="12.75">
      <c r="A103" s="81" t="s">
        <v>47</v>
      </c>
      <c r="B103" s="76" t="s">
        <v>11</v>
      </c>
      <c r="C103" s="96">
        <f>C25*C65*12/1000</f>
        <v>0</v>
      </c>
      <c r="D103" s="96">
        <f>D25*D65*3/1000</f>
        <v>0</v>
      </c>
      <c r="E103" s="96">
        <f>E25*E65*12/1000</f>
        <v>0</v>
      </c>
      <c r="F103" s="147">
        <f>F25*F65*3/1000</f>
        <v>0</v>
      </c>
      <c r="G103" s="96">
        <f>G25*G65*12/1000</f>
        <v>0</v>
      </c>
      <c r="H103" s="96">
        <f>H25*H65*12/1000</f>
        <v>0</v>
      </c>
      <c r="I103" s="96">
        <f>I25*I65*12/1000</f>
        <v>0</v>
      </c>
      <c r="J103" s="96">
        <f>J25*J65*12/1000</f>
        <v>0</v>
      </c>
    </row>
    <row r="104" spans="1:10" ht="12.75">
      <c r="A104" s="81" t="s">
        <v>48</v>
      </c>
      <c r="B104" s="76" t="s">
        <v>11</v>
      </c>
      <c r="C104" s="96">
        <f>C26*C67*12/1000</f>
        <v>0</v>
      </c>
      <c r="D104" s="96">
        <f>D26*D67*3/1000</f>
        <v>0</v>
      </c>
      <c r="E104" s="96">
        <f>E26*E67*12/1000</f>
        <v>0</v>
      </c>
      <c r="F104" s="147">
        <f>F26*F67*3/1000</f>
        <v>0</v>
      </c>
      <c r="G104" s="96">
        <f>G26*G67*12/1000</f>
        <v>0</v>
      </c>
      <c r="H104" s="96">
        <f>H26*H67*12/1000</f>
        <v>0</v>
      </c>
      <c r="I104" s="96">
        <f>I26*I67*12/1000</f>
        <v>0</v>
      </c>
      <c r="J104" s="96">
        <f>J26*J67*12/1000</f>
        <v>0</v>
      </c>
    </row>
    <row r="105" spans="1:10" ht="12.75">
      <c r="A105" s="81" t="s">
        <v>49</v>
      </c>
      <c r="B105" s="76" t="s">
        <v>11</v>
      </c>
      <c r="C105" s="96">
        <f>C27*C69*12/1000</f>
        <v>0</v>
      </c>
      <c r="D105" s="96">
        <f>D27*D69*3/1000</f>
        <v>0</v>
      </c>
      <c r="E105" s="96">
        <f>E27*E69*12/1000</f>
        <v>0</v>
      </c>
      <c r="F105" s="147">
        <f>F27*F69*3/1000</f>
        <v>0</v>
      </c>
      <c r="G105" s="96">
        <f>G27*G69*12/1000</f>
        <v>0</v>
      </c>
      <c r="H105" s="96">
        <f>H27*H69*12/1000</f>
        <v>0</v>
      </c>
      <c r="I105" s="96">
        <f>I27*I69*12/1000</f>
        <v>0</v>
      </c>
      <c r="J105" s="96">
        <f>J27*J69*12/1000</f>
        <v>0</v>
      </c>
    </row>
    <row r="106" spans="1:10" ht="24">
      <c r="A106" s="81" t="s">
        <v>50</v>
      </c>
      <c r="B106" s="76" t="s">
        <v>11</v>
      </c>
      <c r="C106" s="96">
        <f>C28*C71*12/1000</f>
        <v>0</v>
      </c>
      <c r="D106" s="96">
        <f>D28*D71*3/1000</f>
        <v>0</v>
      </c>
      <c r="E106" s="96">
        <f>E28*E71*12/1000</f>
        <v>0</v>
      </c>
      <c r="F106" s="147">
        <f>F28*F71*3/1000</f>
        <v>0</v>
      </c>
      <c r="G106" s="96">
        <f>G28*G71*12/1000</f>
        <v>0</v>
      </c>
      <c r="H106" s="96">
        <f>H28*H71*12/1000</f>
        <v>0</v>
      </c>
      <c r="I106" s="96">
        <f>I28*I71*12/1000</f>
        <v>0</v>
      </c>
      <c r="J106" s="96">
        <f>J28*J71*12/1000</f>
        <v>0</v>
      </c>
    </row>
    <row r="107" spans="1:10" ht="48">
      <c r="A107" s="81" t="s">
        <v>51</v>
      </c>
      <c r="B107" s="76" t="s">
        <v>11</v>
      </c>
      <c r="C107" s="96">
        <f>C29*C73*12/1000</f>
        <v>0</v>
      </c>
      <c r="D107" s="96">
        <f>D29*D73*3/1000</f>
        <v>0</v>
      </c>
      <c r="E107" s="96">
        <f>E29*E73*12/1000</f>
        <v>0</v>
      </c>
      <c r="F107" s="147">
        <f>F29*F73*3/1000</f>
        <v>0</v>
      </c>
      <c r="G107" s="96">
        <f>G29*G73*12/1000</f>
        <v>0</v>
      </c>
      <c r="H107" s="96">
        <f>H29*H73*12/1000</f>
        <v>0</v>
      </c>
      <c r="I107" s="96">
        <f>I29*I73*12/1000</f>
        <v>0</v>
      </c>
      <c r="J107" s="96">
        <f>J29*J73*12/1000</f>
        <v>0</v>
      </c>
    </row>
    <row r="108" spans="1:10" ht="12.75">
      <c r="A108" s="81" t="s">
        <v>52</v>
      </c>
      <c r="B108" s="76" t="s">
        <v>11</v>
      </c>
      <c r="C108" s="96">
        <f>C30*C75*12/1000</f>
        <v>0</v>
      </c>
      <c r="D108" s="96">
        <f>D30*D75*3/1000</f>
        <v>0</v>
      </c>
      <c r="E108" s="96">
        <f>E30*E75*12/1000</f>
        <v>0</v>
      </c>
      <c r="F108" s="147">
        <f>F30*F75*3/1000</f>
        <v>0</v>
      </c>
      <c r="G108" s="96">
        <f>G30*G75*12/1000</f>
        <v>0</v>
      </c>
      <c r="H108" s="96">
        <f>H30*H75*12/1000</f>
        <v>0</v>
      </c>
      <c r="I108" s="96">
        <f>I30*I75*12/1000</f>
        <v>0</v>
      </c>
      <c r="J108" s="96">
        <f>J30*J75*12/1000</f>
        <v>0</v>
      </c>
    </row>
    <row r="109" spans="1:10" ht="24">
      <c r="A109" s="81" t="s">
        <v>53</v>
      </c>
      <c r="B109" s="76" t="s">
        <v>11</v>
      </c>
      <c r="C109" s="96">
        <f>C31*C77*12/1000</f>
        <v>0</v>
      </c>
      <c r="D109" s="96">
        <f>D31*D77*3/1000</f>
        <v>0</v>
      </c>
      <c r="E109" s="96">
        <f>E31*E77*12/1000</f>
        <v>0</v>
      </c>
      <c r="F109" s="147">
        <f>F31*F77*3/1000</f>
        <v>0</v>
      </c>
      <c r="G109" s="96">
        <f>G31*G77*12/1000</f>
        <v>0</v>
      </c>
      <c r="H109" s="96">
        <f>H31*H77*12/1000</f>
        <v>0</v>
      </c>
      <c r="I109" s="96">
        <f>I31*I77*12/1000</f>
        <v>0</v>
      </c>
      <c r="J109" s="96">
        <f>J31*J77*12/1000</f>
        <v>0</v>
      </c>
    </row>
    <row r="110" spans="1:10" ht="36">
      <c r="A110" s="81" t="s">
        <v>54</v>
      </c>
      <c r="B110" s="76" t="s">
        <v>11</v>
      </c>
      <c r="C110" s="96">
        <f>C32*C79*12/1000</f>
        <v>0</v>
      </c>
      <c r="D110" s="96">
        <f>D32*D79*3/1000</f>
        <v>0</v>
      </c>
      <c r="E110" s="96">
        <f>E32*E79*12/1000</f>
        <v>0</v>
      </c>
      <c r="F110" s="147">
        <f>F32*F79*3/1000</f>
        <v>0</v>
      </c>
      <c r="G110" s="96">
        <f>G32*G79*12/1000</f>
        <v>0</v>
      </c>
      <c r="H110" s="96">
        <f>H32*H79*12/1000</f>
        <v>0</v>
      </c>
      <c r="I110" s="96">
        <f>I32*I79*12/1000</f>
        <v>0</v>
      </c>
      <c r="J110" s="96">
        <f>J32*J79*12/1000</f>
        <v>0</v>
      </c>
    </row>
    <row r="111" spans="1:10" ht="12.75">
      <c r="A111" s="83"/>
      <c r="B111" s="76"/>
      <c r="C111" s="89"/>
      <c r="D111" s="96"/>
      <c r="E111" s="96"/>
      <c r="F111" s="147"/>
      <c r="G111" s="89"/>
      <c r="H111" s="89"/>
      <c r="I111" s="89"/>
      <c r="J111" s="89"/>
    </row>
    <row r="112" spans="1:10" ht="38.25">
      <c r="A112" s="94" t="s">
        <v>61</v>
      </c>
      <c r="B112" s="76" t="s">
        <v>11</v>
      </c>
      <c r="C112" s="96">
        <f>C34*C82*12/1000</f>
        <v>0</v>
      </c>
      <c r="D112" s="96">
        <f>D34*D82*3/1000</f>
        <v>0</v>
      </c>
      <c r="E112" s="96">
        <f>E34*E82*12/1000</f>
        <v>0</v>
      </c>
      <c r="F112" s="147">
        <f>F34*F82*3/1000</f>
        <v>0</v>
      </c>
      <c r="G112" s="96">
        <f>G34*G82*12/1000</f>
        <v>0</v>
      </c>
      <c r="H112" s="96">
        <f>H34*H82*12/1000</f>
        <v>0</v>
      </c>
      <c r="I112" s="96">
        <f>I34*I82*12/1000</f>
        <v>0</v>
      </c>
      <c r="J112" s="96">
        <f>J34*J82*12/1000</f>
        <v>0</v>
      </c>
    </row>
    <row r="113" spans="1:10" ht="12.75">
      <c r="A113" s="94"/>
      <c r="B113" s="76"/>
      <c r="C113" s="89"/>
      <c r="D113" s="96"/>
      <c r="E113" s="96"/>
      <c r="F113" s="96"/>
      <c r="G113" s="89"/>
      <c r="H113" s="89"/>
      <c r="I113" s="89"/>
      <c r="J113" s="89"/>
    </row>
    <row r="114" spans="1:10" ht="25.5">
      <c r="A114" s="94" t="s">
        <v>58</v>
      </c>
      <c r="B114" s="76" t="s">
        <v>11</v>
      </c>
      <c r="C114" s="96">
        <f>C36*C85*12/1000</f>
        <v>0</v>
      </c>
      <c r="D114" s="96">
        <f>D36*D85*3/1000</f>
        <v>0</v>
      </c>
      <c r="E114" s="96">
        <f>E36*E85*12/1000</f>
        <v>0</v>
      </c>
      <c r="F114" s="147">
        <f>F36*F85*3/1000</f>
        <v>0</v>
      </c>
      <c r="G114" s="96">
        <f>G36*G85*12/1000</f>
        <v>0</v>
      </c>
      <c r="H114" s="96">
        <f>H36*H85*12/1000</f>
        <v>0</v>
      </c>
      <c r="I114" s="96">
        <f>I36*I85*12/1000</f>
        <v>0</v>
      </c>
      <c r="J114" s="96">
        <f>J36*J85*12/1000</f>
        <v>0</v>
      </c>
    </row>
    <row r="115" spans="1:10" ht="12.75">
      <c r="A115" s="77"/>
      <c r="B115" s="91"/>
      <c r="C115" s="49"/>
      <c r="D115" s="49"/>
      <c r="E115" s="49"/>
      <c r="F115" s="49"/>
      <c r="G115" s="49"/>
      <c r="H115" s="49"/>
      <c r="I115" s="49"/>
      <c r="J115" s="49"/>
    </row>
    <row r="116" spans="1:10" ht="12.75">
      <c r="A116" s="92" t="s">
        <v>24</v>
      </c>
      <c r="B116" s="91"/>
      <c r="C116" s="49"/>
      <c r="D116" s="49"/>
      <c r="E116" s="49"/>
      <c r="F116" s="49"/>
      <c r="G116" s="49"/>
      <c r="H116" s="49"/>
      <c r="I116" s="49"/>
      <c r="J116" s="49"/>
    </row>
    <row r="117" spans="2:10" ht="12.75">
      <c r="B117" s="91"/>
      <c r="C117" s="49"/>
      <c r="D117" s="49"/>
      <c r="E117" s="49"/>
      <c r="F117" s="49"/>
      <c r="G117" s="49"/>
      <c r="H117" s="49"/>
      <c r="I117" s="49"/>
      <c r="J117" s="49"/>
    </row>
    <row r="118" spans="2:10" ht="12.75">
      <c r="B118" s="91"/>
      <c r="C118" s="49"/>
      <c r="D118" s="49"/>
      <c r="E118" s="49"/>
      <c r="F118" s="49"/>
      <c r="G118" s="49"/>
      <c r="H118" s="49"/>
      <c r="I118" s="49"/>
      <c r="J118" s="49"/>
    </row>
    <row r="119" spans="2:10" ht="12.75">
      <c r="B119" s="91"/>
      <c r="C119" s="49"/>
      <c r="D119" s="49"/>
      <c r="E119" s="49"/>
      <c r="F119" s="49"/>
      <c r="G119" s="49"/>
      <c r="H119" s="49"/>
      <c r="I119" s="49"/>
      <c r="J119" s="49"/>
    </row>
    <row r="120" spans="2:10" ht="12.75">
      <c r="B120" s="91"/>
      <c r="C120" s="49"/>
      <c r="D120" s="49"/>
      <c r="E120" s="49"/>
      <c r="F120" s="49"/>
      <c r="G120" s="49"/>
      <c r="H120" s="49"/>
      <c r="I120" s="49"/>
      <c r="J120" s="49"/>
    </row>
    <row r="121" spans="2:10" ht="12.75">
      <c r="B121" s="91"/>
      <c r="C121" s="49"/>
      <c r="D121" s="49"/>
      <c r="E121" s="49"/>
      <c r="F121" s="49"/>
      <c r="G121" s="49"/>
      <c r="H121" s="49"/>
      <c r="I121" s="49"/>
      <c r="J121" s="49"/>
    </row>
    <row r="122" spans="2:10" ht="12.75">
      <c r="B122" s="91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92"/>
      <c r="B123" s="91"/>
      <c r="C123" s="49"/>
      <c r="D123" s="49"/>
      <c r="E123" s="49"/>
      <c r="F123" s="49"/>
      <c r="G123" s="49"/>
      <c r="H123" s="49"/>
      <c r="I123" s="49"/>
      <c r="J123" s="49"/>
    </row>
    <row r="124" spans="1:10" ht="12.75">
      <c r="A124" s="5"/>
      <c r="B124" s="5"/>
      <c r="C124" s="51"/>
      <c r="D124" s="51"/>
      <c r="E124" s="51"/>
      <c r="F124" s="51"/>
      <c r="G124" s="51"/>
      <c r="H124" s="51"/>
      <c r="I124" s="127" t="s">
        <v>66</v>
      </c>
      <c r="J124" s="51"/>
    </row>
    <row r="125" spans="1:11" ht="15">
      <c r="A125" s="5"/>
      <c r="B125" s="93" t="s">
        <v>20</v>
      </c>
      <c r="C125" s="51"/>
      <c r="D125" s="52"/>
      <c r="E125" s="36"/>
      <c r="F125" s="36"/>
      <c r="G125" s="36"/>
      <c r="H125" s="36"/>
      <c r="I125" s="36"/>
      <c r="J125" s="36"/>
      <c r="K125" s="5"/>
    </row>
    <row r="126" spans="1:11" ht="13.5" thickBot="1">
      <c r="A126" s="111"/>
      <c r="B126" s="111"/>
      <c r="C126" s="36"/>
      <c r="D126" s="36"/>
      <c r="E126" s="36"/>
      <c r="F126" s="36"/>
      <c r="G126" s="36"/>
      <c r="H126" s="36"/>
      <c r="I126" s="36"/>
      <c r="J126" s="36"/>
      <c r="K126" s="5"/>
    </row>
    <row r="127" spans="1:11" ht="13.5" thickBot="1">
      <c r="A127" s="12"/>
      <c r="B127" s="110" t="s">
        <v>14</v>
      </c>
      <c r="C127" s="2" t="s">
        <v>0</v>
      </c>
      <c r="D127" s="2" t="s">
        <v>0</v>
      </c>
      <c r="E127" s="2" t="s">
        <v>0</v>
      </c>
      <c r="F127" s="2" t="s">
        <v>0</v>
      </c>
      <c r="G127" s="2" t="s">
        <v>1</v>
      </c>
      <c r="H127" s="8"/>
      <c r="I127" s="9" t="s">
        <v>5</v>
      </c>
      <c r="J127" s="10"/>
      <c r="K127" s="5"/>
    </row>
    <row r="128" spans="1:11" ht="12.75">
      <c r="A128" s="3" t="s">
        <v>2</v>
      </c>
      <c r="B128" s="3" t="s">
        <v>12</v>
      </c>
      <c r="C128" s="3" t="s">
        <v>506</v>
      </c>
      <c r="D128" s="102" t="s">
        <v>78</v>
      </c>
      <c r="E128" s="3" t="s">
        <v>507</v>
      </c>
      <c r="F128" s="102" t="s">
        <v>78</v>
      </c>
      <c r="G128" s="3" t="s">
        <v>516</v>
      </c>
      <c r="H128" s="3" t="s">
        <v>539</v>
      </c>
      <c r="I128" s="3" t="s">
        <v>577</v>
      </c>
      <c r="J128" s="3" t="s">
        <v>578</v>
      </c>
      <c r="K128" s="5"/>
    </row>
    <row r="129" spans="1:10" ht="13.5" thickBot="1">
      <c r="A129" s="4"/>
      <c r="B129" s="4" t="s">
        <v>13</v>
      </c>
      <c r="C129" s="104" t="s">
        <v>17</v>
      </c>
      <c r="D129" s="104" t="s">
        <v>507</v>
      </c>
      <c r="E129" s="104" t="s">
        <v>17</v>
      </c>
      <c r="F129" s="104" t="s">
        <v>516</v>
      </c>
      <c r="G129" s="106"/>
      <c r="H129" s="107"/>
      <c r="I129" s="6"/>
      <c r="J129" s="6"/>
    </row>
    <row r="130" spans="1:10" ht="12.75">
      <c r="A130" s="1"/>
      <c r="B130" s="1"/>
      <c r="C130" s="67"/>
      <c r="D130" s="42"/>
      <c r="E130" s="42"/>
      <c r="F130" s="42"/>
      <c r="G130" s="42"/>
      <c r="H130" s="42"/>
      <c r="I130" s="42"/>
      <c r="J130" s="42"/>
    </row>
    <row r="131" spans="1:10" ht="12.75">
      <c r="A131" s="11" t="s">
        <v>21</v>
      </c>
      <c r="B131" s="3"/>
      <c r="C131" s="66"/>
      <c r="D131" s="54"/>
      <c r="E131" s="35"/>
      <c r="F131" s="35"/>
      <c r="G131" s="35"/>
      <c r="H131" s="35"/>
      <c r="I131" s="35"/>
      <c r="J131" s="35"/>
    </row>
    <row r="132" spans="1:10" ht="13.5" thickBot="1">
      <c r="A132" s="16" t="s">
        <v>25</v>
      </c>
      <c r="B132" s="19" t="s">
        <v>18</v>
      </c>
      <c r="C132" s="68"/>
      <c r="D132" s="57"/>
      <c r="E132" s="56"/>
      <c r="F132" s="56"/>
      <c r="G132" s="56"/>
      <c r="H132" s="56"/>
      <c r="I132" s="56"/>
      <c r="J132" s="56"/>
    </row>
    <row r="133" spans="1:10" ht="12.75">
      <c r="A133" s="23" t="s">
        <v>28</v>
      </c>
      <c r="B133" s="23"/>
      <c r="C133" s="69"/>
      <c r="D133" s="38"/>
      <c r="E133" s="38"/>
      <c r="F133" s="38"/>
      <c r="G133" s="38"/>
      <c r="H133" s="38"/>
      <c r="I133" s="38"/>
      <c r="J133" s="38"/>
    </row>
    <row r="134" spans="1:10" ht="13.5" thickBot="1">
      <c r="A134" s="20" t="s">
        <v>22</v>
      </c>
      <c r="B134" s="26" t="s">
        <v>18</v>
      </c>
      <c r="C134" s="65"/>
      <c r="D134" s="40"/>
      <c r="E134" s="34"/>
      <c r="F134" s="34"/>
      <c r="G134" s="34"/>
      <c r="H134" s="34"/>
      <c r="I134" s="34"/>
      <c r="J134" s="34"/>
    </row>
    <row r="135" spans="1:10" ht="12.75">
      <c r="A135" s="23"/>
      <c r="B135" s="23"/>
      <c r="C135" s="69"/>
      <c r="D135" s="38"/>
      <c r="E135" s="38"/>
      <c r="F135" s="38"/>
      <c r="G135" s="38"/>
      <c r="H135" s="38"/>
      <c r="I135" s="38"/>
      <c r="J135" s="38"/>
    </row>
    <row r="136" spans="1:10" ht="12.75">
      <c r="A136" s="136" t="s">
        <v>76</v>
      </c>
      <c r="B136" s="22" t="s">
        <v>10</v>
      </c>
      <c r="C136" s="48"/>
      <c r="D136" s="44"/>
      <c r="E136" s="46"/>
      <c r="F136" s="46"/>
      <c r="G136" s="46"/>
      <c r="H136" s="46"/>
      <c r="I136" s="46"/>
      <c r="J136" s="46"/>
    </row>
    <row r="137" spans="1:10" ht="12.75">
      <c r="A137" s="17" t="s">
        <v>27</v>
      </c>
      <c r="B137" s="3"/>
      <c r="C137" s="48"/>
      <c r="D137" s="44"/>
      <c r="E137" s="46"/>
      <c r="F137" s="46"/>
      <c r="G137" s="46"/>
      <c r="H137" s="46"/>
      <c r="I137" s="46"/>
      <c r="J137" s="46"/>
    </row>
    <row r="138" spans="1:10" ht="13.5" thickBot="1">
      <c r="A138" s="15" t="s">
        <v>23</v>
      </c>
      <c r="B138" s="19" t="s">
        <v>15</v>
      </c>
      <c r="C138" s="50"/>
      <c r="D138" s="45"/>
      <c r="E138" s="47" t="e">
        <f>E136/C136*100</f>
        <v>#DIV/0!</v>
      </c>
      <c r="F138" s="47" t="e">
        <f>F137/D137*100</f>
        <v>#DIV/0!</v>
      </c>
      <c r="G138" s="47" t="e">
        <f>G136/E136*100</f>
        <v>#DIV/0!</v>
      </c>
      <c r="H138" s="47" t="e">
        <f>H136/G136*100</f>
        <v>#DIV/0!</v>
      </c>
      <c r="I138" s="47" t="e">
        <f>I136/H136*100</f>
        <v>#DIV/0!</v>
      </c>
      <c r="J138" s="47" t="e">
        <f>J136/I136*100</f>
        <v>#DIV/0!</v>
      </c>
    </row>
    <row r="139" spans="1:10" ht="12.75">
      <c r="A139" s="25" t="s">
        <v>28</v>
      </c>
      <c r="B139" s="24"/>
      <c r="C139" s="66"/>
      <c r="D139" s="39"/>
      <c r="E139" s="35"/>
      <c r="F139" s="35"/>
      <c r="G139" s="35"/>
      <c r="H139" s="35"/>
      <c r="I139" s="35"/>
      <c r="J139" s="35"/>
    </row>
    <row r="140" spans="1:10" ht="12.75">
      <c r="A140" s="27" t="s">
        <v>22</v>
      </c>
      <c r="B140" s="24" t="s">
        <v>10</v>
      </c>
      <c r="C140" s="66"/>
      <c r="D140" s="39"/>
      <c r="E140" s="35"/>
      <c r="F140" s="35"/>
      <c r="G140" s="35"/>
      <c r="H140" s="35"/>
      <c r="I140" s="35"/>
      <c r="J140" s="35"/>
    </row>
    <row r="141" spans="1:10" ht="13.5" thickBot="1">
      <c r="A141" s="28" t="s">
        <v>23</v>
      </c>
      <c r="B141" s="26" t="s">
        <v>15</v>
      </c>
      <c r="C141" s="68"/>
      <c r="D141" s="41"/>
      <c r="E141" s="47" t="e">
        <f>E140/C140*100</f>
        <v>#DIV/0!</v>
      </c>
      <c r="F141" s="47" t="e">
        <f>F140/D140*100</f>
        <v>#DIV/0!</v>
      </c>
      <c r="G141" s="47" t="e">
        <f>G140/E140*100</f>
        <v>#DIV/0!</v>
      </c>
      <c r="H141" s="47" t="e">
        <f>H140/G140*100</f>
        <v>#DIV/0!</v>
      </c>
      <c r="I141" s="47" t="e">
        <f>I140/H140*100</f>
        <v>#DIV/0!</v>
      </c>
      <c r="J141" s="47" t="e">
        <f>J140/I140*100</f>
        <v>#DIV/0!</v>
      </c>
    </row>
    <row r="142" spans="1:10" ht="12.75">
      <c r="A142" s="1"/>
      <c r="B142" s="1"/>
      <c r="C142" s="67"/>
      <c r="D142" s="42"/>
      <c r="E142" s="42"/>
      <c r="F142" s="42"/>
      <c r="G142" s="42"/>
      <c r="H142" s="42"/>
      <c r="I142" s="42"/>
      <c r="J142" s="42"/>
    </row>
    <row r="143" spans="1:10" ht="13.5" thickBot="1">
      <c r="A143" s="16" t="s">
        <v>26</v>
      </c>
      <c r="B143" s="19" t="s">
        <v>11</v>
      </c>
      <c r="C143" s="68"/>
      <c r="D143" s="57"/>
      <c r="E143" s="56"/>
      <c r="F143" s="56"/>
      <c r="G143" s="56"/>
      <c r="H143" s="56"/>
      <c r="I143" s="56"/>
      <c r="J143" s="56"/>
    </row>
    <row r="144" spans="1:10" ht="12.75">
      <c r="A144" s="23" t="s">
        <v>28</v>
      </c>
      <c r="B144" s="23"/>
      <c r="C144" s="66"/>
      <c r="D144" s="35"/>
      <c r="E144" s="35"/>
      <c r="F144" s="35"/>
      <c r="G144" s="35"/>
      <c r="H144" s="35"/>
      <c r="I144" s="35"/>
      <c r="J144" s="35"/>
    </row>
    <row r="145" spans="1:10" ht="13.5" thickBot="1">
      <c r="A145" s="20" t="s">
        <v>22</v>
      </c>
      <c r="B145" s="26" t="s">
        <v>11</v>
      </c>
      <c r="C145" s="68"/>
      <c r="D145" s="41"/>
      <c r="E145" s="56"/>
      <c r="F145" s="56"/>
      <c r="G145" s="56"/>
      <c r="H145" s="56"/>
      <c r="I145" s="56"/>
      <c r="J145" s="56"/>
    </row>
    <row r="146" spans="1:10" ht="12.75">
      <c r="A146" s="5"/>
      <c r="B146" s="5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5"/>
      <c r="B147" s="5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5"/>
      <c r="B148" s="5"/>
      <c r="C148" s="36"/>
      <c r="D148" s="36"/>
      <c r="E148" s="36"/>
      <c r="F148" s="36"/>
      <c r="G148" s="36"/>
      <c r="H148" s="36"/>
      <c r="I148" s="36"/>
      <c r="J148" s="36"/>
    </row>
    <row r="149" spans="1:10" ht="12.75">
      <c r="A149" s="5"/>
      <c r="B149" s="5"/>
      <c r="C149" s="36"/>
      <c r="D149" s="36"/>
      <c r="E149" s="36"/>
      <c r="F149" s="36"/>
      <c r="G149" s="36"/>
      <c r="H149" s="36"/>
      <c r="I149" s="36"/>
      <c r="J149" s="36"/>
    </row>
    <row r="150" spans="1:10" ht="15">
      <c r="A150" s="5"/>
      <c r="B150" s="93"/>
      <c r="C150" s="52"/>
      <c r="D150" s="52"/>
      <c r="E150" s="52"/>
      <c r="F150" s="52"/>
      <c r="G150" s="52"/>
      <c r="H150" s="36"/>
      <c r="I150" s="149" t="s">
        <v>67</v>
      </c>
      <c r="J150" s="36"/>
    </row>
    <row r="151" spans="1:10" ht="15">
      <c r="A151" s="5"/>
      <c r="B151" s="129" t="s">
        <v>68</v>
      </c>
      <c r="C151" s="130"/>
      <c r="D151" s="130"/>
      <c r="E151" s="130"/>
      <c r="F151" s="130"/>
      <c r="G151" s="130"/>
      <c r="H151" s="131"/>
      <c r="I151" s="36"/>
      <c r="J151" s="36"/>
    </row>
    <row r="152" spans="1:10" ht="15">
      <c r="A152" s="5"/>
      <c r="B152" s="129" t="s">
        <v>31</v>
      </c>
      <c r="C152" s="130"/>
      <c r="D152" s="130"/>
      <c r="E152" s="130"/>
      <c r="F152" s="130"/>
      <c r="G152" s="130"/>
      <c r="H152" s="131"/>
      <c r="I152" s="36"/>
      <c r="J152" s="36"/>
    </row>
    <row r="153" spans="1:10" ht="13.5" thickBot="1">
      <c r="A153" s="111"/>
      <c r="B153" s="5"/>
      <c r="C153" s="36"/>
      <c r="D153" s="36"/>
      <c r="E153" s="36"/>
      <c r="F153" s="36"/>
      <c r="G153" s="36"/>
      <c r="H153" s="36"/>
      <c r="I153" s="36"/>
      <c r="J153" s="36"/>
    </row>
    <row r="154" spans="1:11" ht="15" thickBot="1">
      <c r="A154" s="12"/>
      <c r="B154" s="7" t="s">
        <v>14</v>
      </c>
      <c r="C154" s="2" t="s">
        <v>0</v>
      </c>
      <c r="D154" s="2" t="s">
        <v>0</v>
      </c>
      <c r="E154" s="2" t="s">
        <v>0</v>
      </c>
      <c r="F154" s="2" t="s">
        <v>0</v>
      </c>
      <c r="G154" s="2" t="s">
        <v>1</v>
      </c>
      <c r="H154" s="8"/>
      <c r="I154" s="9" t="s">
        <v>5</v>
      </c>
      <c r="J154" s="10"/>
      <c r="K154" s="18"/>
    </row>
    <row r="155" spans="1:11" ht="14.25">
      <c r="A155" s="3" t="s">
        <v>2</v>
      </c>
      <c r="B155" s="3" t="s">
        <v>12</v>
      </c>
      <c r="C155" s="3" t="s">
        <v>506</v>
      </c>
      <c r="D155" s="102" t="s">
        <v>78</v>
      </c>
      <c r="E155" s="3" t="s">
        <v>507</v>
      </c>
      <c r="F155" s="102" t="s">
        <v>78</v>
      </c>
      <c r="G155" s="3" t="s">
        <v>516</v>
      </c>
      <c r="H155" s="3" t="s">
        <v>539</v>
      </c>
      <c r="I155" s="3" t="s">
        <v>577</v>
      </c>
      <c r="J155" s="3" t="s">
        <v>578</v>
      </c>
      <c r="K155" s="18"/>
    </row>
    <row r="156" spans="1:10" ht="13.5" thickBot="1">
      <c r="A156" s="3"/>
      <c r="B156" s="4" t="s">
        <v>13</v>
      </c>
      <c r="C156" s="104" t="s">
        <v>17</v>
      </c>
      <c r="D156" s="104" t="s">
        <v>507</v>
      </c>
      <c r="E156" s="104" t="s">
        <v>17</v>
      </c>
      <c r="F156" s="104" t="s">
        <v>516</v>
      </c>
      <c r="G156" s="106"/>
      <c r="H156" s="107"/>
      <c r="I156" s="6"/>
      <c r="J156" s="6"/>
    </row>
    <row r="157" spans="1:10" ht="13.5" thickBot="1">
      <c r="A157" s="1"/>
      <c r="B157" s="1"/>
      <c r="C157" s="67"/>
      <c r="D157" s="58"/>
      <c r="E157" s="37"/>
      <c r="F157" s="37"/>
      <c r="G157" s="37"/>
      <c r="H157" s="37"/>
      <c r="I157" s="37"/>
      <c r="J157" s="37"/>
    </row>
    <row r="158" spans="1:10" ht="12.75">
      <c r="A158" s="14" t="s">
        <v>21</v>
      </c>
      <c r="B158" s="32"/>
      <c r="C158" s="67"/>
      <c r="D158" s="59"/>
      <c r="E158" s="35"/>
      <c r="F158" s="35"/>
      <c r="G158" s="35"/>
      <c r="H158" s="35"/>
      <c r="I158" s="35"/>
      <c r="J158" s="35"/>
    </row>
    <row r="159" spans="1:10" ht="13.5" thickBot="1">
      <c r="A159" s="16" t="s">
        <v>33</v>
      </c>
      <c r="B159" s="19" t="s">
        <v>18</v>
      </c>
      <c r="C159" s="68">
        <v>188</v>
      </c>
      <c r="D159" s="60">
        <v>186</v>
      </c>
      <c r="E159" s="56">
        <v>184</v>
      </c>
      <c r="F159" s="56">
        <v>186</v>
      </c>
      <c r="G159" s="61">
        <v>184</v>
      </c>
      <c r="H159" s="56">
        <v>184</v>
      </c>
      <c r="I159" s="61">
        <v>186</v>
      </c>
      <c r="J159" s="56">
        <v>188</v>
      </c>
    </row>
    <row r="160" spans="1:10" ht="25.5">
      <c r="A160" s="139" t="s">
        <v>538</v>
      </c>
      <c r="B160" s="17"/>
      <c r="C160" s="66"/>
      <c r="D160" s="51"/>
      <c r="E160" s="42"/>
      <c r="F160" s="42"/>
      <c r="G160" s="43"/>
      <c r="H160" s="42"/>
      <c r="I160" s="43"/>
      <c r="J160" s="42"/>
    </row>
    <row r="161" spans="1:10" ht="13.5" thickBot="1">
      <c r="A161" s="6" t="s">
        <v>574</v>
      </c>
      <c r="B161" s="31" t="s">
        <v>18</v>
      </c>
      <c r="C161" s="68">
        <v>188</v>
      </c>
      <c r="D161" s="60">
        <v>186</v>
      </c>
      <c r="E161" s="56">
        <v>184</v>
      </c>
      <c r="F161" s="56">
        <v>186</v>
      </c>
      <c r="G161" s="61">
        <v>184</v>
      </c>
      <c r="H161" s="56">
        <v>184</v>
      </c>
      <c r="I161" s="61">
        <v>186</v>
      </c>
      <c r="J161" s="56">
        <v>188</v>
      </c>
    </row>
    <row r="162" spans="1:10" ht="13.5" thickBot="1">
      <c r="A162" s="6" t="s">
        <v>77</v>
      </c>
      <c r="B162" s="29" t="s">
        <v>18</v>
      </c>
      <c r="C162" s="68"/>
      <c r="D162" s="55"/>
      <c r="E162" s="56"/>
      <c r="F162" s="56"/>
      <c r="G162" s="56"/>
      <c r="H162" s="56"/>
      <c r="I162" s="56"/>
      <c r="J162" s="56"/>
    </row>
    <row r="163" spans="1:10" ht="13.5" thickBot="1">
      <c r="A163" s="13" t="s">
        <v>32</v>
      </c>
      <c r="B163" s="30"/>
      <c r="C163" s="70"/>
      <c r="D163" s="62"/>
      <c r="E163" s="37"/>
      <c r="F163" s="37"/>
      <c r="G163" s="37"/>
      <c r="H163" s="37"/>
      <c r="I163" s="37"/>
      <c r="J163" s="37"/>
    </row>
    <row r="164" spans="1:10" ht="12.75">
      <c r="A164" s="11" t="s">
        <v>19</v>
      </c>
      <c r="B164" s="22"/>
      <c r="C164" s="66">
        <v>15399</v>
      </c>
      <c r="D164" s="54">
        <v>16749.5</v>
      </c>
      <c r="E164" s="46">
        <v>16292.6</v>
      </c>
      <c r="F164" s="46">
        <v>16495.8</v>
      </c>
      <c r="G164" s="46">
        <v>16495.8</v>
      </c>
      <c r="H164" s="46">
        <v>17271.1</v>
      </c>
      <c r="I164" s="46">
        <v>17910.13</v>
      </c>
      <c r="J164" s="46">
        <v>18626.53</v>
      </c>
    </row>
    <row r="165" spans="1:10" ht="12.75">
      <c r="A165" s="11" t="s">
        <v>34</v>
      </c>
      <c r="B165" s="22" t="s">
        <v>10</v>
      </c>
      <c r="C165" s="66">
        <v>15399</v>
      </c>
      <c r="D165" s="54">
        <v>16749.5</v>
      </c>
      <c r="E165" s="46">
        <v>16292.6</v>
      </c>
      <c r="F165" s="46">
        <v>16495.8</v>
      </c>
      <c r="G165" s="46">
        <v>16495.8</v>
      </c>
      <c r="H165" s="46">
        <v>17271.1</v>
      </c>
      <c r="I165" s="46">
        <v>17910.13</v>
      </c>
      <c r="J165" s="46">
        <v>18626.53</v>
      </c>
    </row>
    <row r="166" spans="1:10" ht="13.5" thickBot="1">
      <c r="A166" s="15" t="s">
        <v>23</v>
      </c>
      <c r="B166" s="19" t="s">
        <v>15</v>
      </c>
      <c r="C166" s="68"/>
      <c r="D166" s="57"/>
      <c r="E166" s="47">
        <f>E164/C164*100</f>
        <v>105.80297421910514</v>
      </c>
      <c r="F166" s="47">
        <f>F164/D164*100</f>
        <v>98.48532792023641</v>
      </c>
      <c r="G166" s="47">
        <f>G164/E164*100</f>
        <v>101.24719197672563</v>
      </c>
      <c r="H166" s="47">
        <f>H164/G164*100</f>
        <v>104.6999842384122</v>
      </c>
      <c r="I166" s="47">
        <f>I164/H164*100</f>
        <v>103.6999959469866</v>
      </c>
      <c r="J166" s="47">
        <f>J164/I164*100</f>
        <v>103.99997096615155</v>
      </c>
    </row>
    <row r="167" spans="1:10" s="138" customFormat="1" ht="25.5">
      <c r="A167" s="268" t="s">
        <v>538</v>
      </c>
      <c r="B167" s="269"/>
      <c r="C167" s="170">
        <v>15399</v>
      </c>
      <c r="D167" s="171">
        <v>16749.5</v>
      </c>
      <c r="E167" s="270">
        <v>16292.6</v>
      </c>
      <c r="F167" s="270">
        <v>16495.8</v>
      </c>
      <c r="G167" s="270">
        <v>16495.8</v>
      </c>
      <c r="H167" s="270">
        <v>17271.1</v>
      </c>
      <c r="I167" s="270">
        <v>17910.13</v>
      </c>
      <c r="J167" s="270">
        <v>18626.53</v>
      </c>
    </row>
    <row r="168" spans="1:10" s="138" customFormat="1" ht="13.5" thickBot="1">
      <c r="A168" s="271" t="s">
        <v>575</v>
      </c>
      <c r="B168" s="272" t="s">
        <v>10</v>
      </c>
      <c r="C168" s="170">
        <v>15399</v>
      </c>
      <c r="D168" s="171">
        <v>16749.5</v>
      </c>
      <c r="E168" s="270">
        <v>16292.6</v>
      </c>
      <c r="F168" s="270">
        <v>16495.8</v>
      </c>
      <c r="G168" s="270">
        <v>16495.8</v>
      </c>
      <c r="H168" s="270">
        <v>17271.1</v>
      </c>
      <c r="I168" s="270">
        <v>17910.13</v>
      </c>
      <c r="J168" s="270">
        <v>18626.53</v>
      </c>
    </row>
    <row r="169" spans="1:10" ht="13.5" thickBot="1">
      <c r="A169" s="15" t="s">
        <v>23</v>
      </c>
      <c r="B169" s="31" t="s">
        <v>15</v>
      </c>
      <c r="C169" s="68"/>
      <c r="D169" s="57"/>
      <c r="E169" s="47">
        <f>E167/C167*100</f>
        <v>105.80297421910514</v>
      </c>
      <c r="F169" s="47">
        <f>F167/D167*100</f>
        <v>98.48532792023641</v>
      </c>
      <c r="G169" s="47">
        <f>G167/E167*100</f>
        <v>101.24719197672563</v>
      </c>
      <c r="H169" s="47">
        <f>H167/G167*100</f>
        <v>104.6999842384122</v>
      </c>
      <c r="I169" s="47">
        <f>I167/H167*100</f>
        <v>103.6999959469866</v>
      </c>
      <c r="J169" s="47">
        <f>J167/I167*100</f>
        <v>103.99997096615155</v>
      </c>
    </row>
    <row r="170" spans="1:10" ht="12" customHeight="1" thickBot="1">
      <c r="A170" s="12" t="s">
        <v>77</v>
      </c>
      <c r="B170" s="71" t="s">
        <v>10</v>
      </c>
      <c r="C170" s="66"/>
      <c r="D170" s="54"/>
      <c r="E170" s="46"/>
      <c r="F170" s="46"/>
      <c r="G170" s="46"/>
      <c r="H170" s="46"/>
      <c r="I170" s="46"/>
      <c r="J170" s="46"/>
    </row>
    <row r="171" spans="1:10" ht="13.5" hidden="1" thickBot="1">
      <c r="A171" s="15" t="s">
        <v>23</v>
      </c>
      <c r="B171" s="31" t="s">
        <v>15</v>
      </c>
      <c r="C171" s="68"/>
      <c r="D171" s="57"/>
      <c r="E171" s="47" t="e">
        <f>E169/C169*100</f>
        <v>#DIV/0!</v>
      </c>
      <c r="F171" s="47" t="e">
        <f>F169/D169*100</f>
        <v>#DIV/0!</v>
      </c>
      <c r="G171" s="47">
        <f>G169/E169*100</f>
        <v>95.69408868133988</v>
      </c>
      <c r="H171" s="47">
        <f>H169/G169*100</f>
        <v>103.4102597753825</v>
      </c>
      <c r="I171" s="47">
        <f>I169/H169*100</f>
        <v>99.04490120156224</v>
      </c>
      <c r="J171" s="47">
        <f>J169/I169*100</f>
        <v>100.28927196807057</v>
      </c>
    </row>
    <row r="172" spans="1:10" ht="0.75" customHeight="1" thickBot="1">
      <c r="A172" s="12" t="s">
        <v>32</v>
      </c>
      <c r="B172" s="21"/>
      <c r="C172" s="67"/>
      <c r="D172" s="63"/>
      <c r="E172" s="42"/>
      <c r="F172" s="42"/>
      <c r="G172" s="42"/>
      <c r="H172" s="42"/>
      <c r="I172" s="42"/>
      <c r="J172" s="42"/>
    </row>
    <row r="173" spans="1:10" ht="12.75">
      <c r="A173" s="14" t="s">
        <v>83</v>
      </c>
      <c r="B173" s="72"/>
      <c r="C173" s="67"/>
      <c r="D173" s="53"/>
      <c r="E173" s="42"/>
      <c r="F173" s="42"/>
      <c r="G173" s="42"/>
      <c r="H173" s="42"/>
      <c r="I173" s="42"/>
      <c r="J173" s="42"/>
    </row>
    <row r="174" spans="1:10" ht="13.5" thickBot="1">
      <c r="A174" s="16" t="s">
        <v>30</v>
      </c>
      <c r="B174" s="19" t="s">
        <v>11</v>
      </c>
      <c r="C174" s="68"/>
      <c r="D174" s="68"/>
      <c r="E174" s="68"/>
      <c r="F174" s="68">
        <v>9913.99</v>
      </c>
      <c r="G174" s="68">
        <v>42571.05</v>
      </c>
      <c r="H174" s="68">
        <v>45061.23</v>
      </c>
      <c r="I174" s="68">
        <v>48854.49</v>
      </c>
      <c r="J174" s="68">
        <v>53751.7</v>
      </c>
    </row>
    <row r="175" spans="1:10" ht="25.5">
      <c r="A175" s="139" t="s">
        <v>538</v>
      </c>
      <c r="B175" s="22"/>
      <c r="C175" s="170"/>
      <c r="D175" s="171"/>
      <c r="E175" s="171"/>
      <c r="F175" s="171"/>
      <c r="G175" s="171"/>
      <c r="H175" s="171"/>
      <c r="I175" s="171"/>
      <c r="J175" s="171"/>
    </row>
    <row r="176" spans="1:10" ht="13.5" thickBot="1">
      <c r="A176" s="6" t="s">
        <v>575</v>
      </c>
      <c r="B176" s="31" t="s">
        <v>11</v>
      </c>
      <c r="C176" s="172">
        <f>C161*12*C168/1000</f>
        <v>34740.144</v>
      </c>
      <c r="D176" s="172">
        <f>D161*3*D168/1000</f>
        <v>9346.221</v>
      </c>
      <c r="E176" s="172">
        <f>E161*12*E168/1000</f>
        <v>35974.06080000001</v>
      </c>
      <c r="F176" s="172">
        <f>F161*3*F168/1000</f>
        <v>9204.6564</v>
      </c>
      <c r="G176" s="172">
        <f>G161*12*G168/1000</f>
        <v>36422.7264</v>
      </c>
      <c r="H176" s="172">
        <f>H161*12*H168/1000</f>
        <v>38134.5888</v>
      </c>
      <c r="I176" s="172">
        <f>I161*12*I168/1000</f>
        <v>39975.41016000001</v>
      </c>
      <c r="J176" s="172">
        <f>J161*12*J168/1000</f>
        <v>42021.45168</v>
      </c>
    </row>
    <row r="177" spans="1:10" ht="13.5" thickBot="1">
      <c r="A177" s="6" t="s">
        <v>77</v>
      </c>
      <c r="B177" s="31" t="s">
        <v>11</v>
      </c>
      <c r="C177" s="172">
        <f>C162*12*C170/1000</f>
        <v>0</v>
      </c>
      <c r="D177" s="172">
        <f>D162*3*D170/1000</f>
        <v>0</v>
      </c>
      <c r="E177" s="172">
        <f>E162*12*E170/1000</f>
        <v>0</v>
      </c>
      <c r="F177" s="172">
        <f>F162*3*F170/1000</f>
        <v>0</v>
      </c>
      <c r="G177" s="172">
        <f>G162*12*G170/1000</f>
        <v>0</v>
      </c>
      <c r="H177" s="172">
        <f>H162*12*H170/1000</f>
        <v>0</v>
      </c>
      <c r="I177" s="172">
        <f>I162*12*I170/1000</f>
        <v>0</v>
      </c>
      <c r="J177" s="172">
        <f>J162*12*J170/1000</f>
        <v>0</v>
      </c>
    </row>
    <row r="178" spans="1:10" ht="13.5" thickBot="1">
      <c r="A178" s="13" t="s">
        <v>32</v>
      </c>
      <c r="B178" s="29"/>
      <c r="C178" s="70"/>
      <c r="D178" s="64"/>
      <c r="E178" s="37"/>
      <c r="F178" s="37"/>
      <c r="G178" s="37"/>
      <c r="H178" s="37"/>
      <c r="I178" s="37"/>
      <c r="J178" s="37"/>
    </row>
    <row r="179" spans="3:10" ht="12.75"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166" t="s">
        <v>502</v>
      </c>
      <c r="C180" s="36"/>
      <c r="D180" s="36"/>
      <c r="E180" s="36"/>
      <c r="F180" s="36">
        <v>16600</v>
      </c>
      <c r="G180" s="36"/>
      <c r="H180" s="36"/>
      <c r="I180" s="36"/>
      <c r="J180" s="36"/>
    </row>
    <row r="181" spans="1:10" ht="12.75">
      <c r="A181" s="166" t="s">
        <v>503</v>
      </c>
      <c r="C181" s="36"/>
      <c r="D181" s="36"/>
      <c r="E181" s="36"/>
      <c r="F181" s="36"/>
      <c r="G181" s="36"/>
      <c r="H181" s="36"/>
      <c r="I181" s="36"/>
      <c r="J181" s="36"/>
    </row>
    <row r="182" spans="3:10" ht="12.75">
      <c r="C182" s="36"/>
      <c r="D182" s="36"/>
      <c r="E182" s="36"/>
      <c r="F182" s="36"/>
      <c r="G182" s="36"/>
      <c r="H182" s="36"/>
      <c r="I182" s="36"/>
      <c r="J182" s="36"/>
    </row>
    <row r="183" spans="3:10" ht="12.75">
      <c r="C183" s="36"/>
      <c r="D183" s="36"/>
      <c r="E183" s="36"/>
      <c r="F183" s="36"/>
      <c r="G183" s="36"/>
      <c r="H183" s="36"/>
      <c r="I183" s="36"/>
      <c r="J183" s="36"/>
    </row>
    <row r="184" spans="3:10" ht="12.75">
      <c r="C184" s="36"/>
      <c r="D184" s="36"/>
      <c r="E184" s="36"/>
      <c r="F184" s="36"/>
      <c r="G184" s="36"/>
      <c r="H184" s="36"/>
      <c r="I184" s="36"/>
      <c r="J184" s="36"/>
    </row>
    <row r="185" spans="3:10" ht="12.75">
      <c r="C185" s="36"/>
      <c r="D185" s="36"/>
      <c r="E185" s="36"/>
      <c r="F185" s="36"/>
      <c r="G185" s="36"/>
      <c r="H185" s="36"/>
      <c r="I185" s="36"/>
      <c r="J185" s="36"/>
    </row>
    <row r="186" spans="3:10" ht="12.75">
      <c r="C186" s="36"/>
      <c r="D186" s="36"/>
      <c r="E186" s="36"/>
      <c r="F186" s="36"/>
      <c r="G186" s="36"/>
      <c r="H186" s="36"/>
      <c r="I186" s="128" t="s">
        <v>70</v>
      </c>
      <c r="J186" s="36"/>
    </row>
    <row r="187" spans="1:12" ht="15.75">
      <c r="A187" s="77"/>
      <c r="B187" s="101"/>
      <c r="C187" s="100"/>
      <c r="K187" s="109"/>
      <c r="L187" s="109"/>
    </row>
    <row r="188" spans="1:12" ht="15.75">
      <c r="A188" s="77"/>
      <c r="B188" s="132" t="s">
        <v>82</v>
      </c>
      <c r="C188" s="100"/>
      <c r="K188" s="109"/>
      <c r="L188" s="109"/>
    </row>
    <row r="189" spans="1:12" ht="15.75">
      <c r="A189" s="132" t="s">
        <v>81</v>
      </c>
      <c r="C189" s="100"/>
      <c r="K189" s="109"/>
      <c r="L189" s="109"/>
    </row>
    <row r="190" spans="1:12" ht="16.5" thickBot="1">
      <c r="A190" s="137"/>
      <c r="B190" s="101"/>
      <c r="C190" s="100"/>
      <c r="K190" s="109"/>
      <c r="L190" s="109"/>
    </row>
    <row r="191" spans="1:12" ht="16.5" thickBot="1">
      <c r="A191" s="1"/>
      <c r="B191" s="116" t="s">
        <v>14</v>
      </c>
      <c r="C191" s="117" t="s">
        <v>0</v>
      </c>
      <c r="D191" s="117" t="s">
        <v>74</v>
      </c>
      <c r="E191" s="117" t="s">
        <v>1</v>
      </c>
      <c r="F191" s="118"/>
      <c r="G191" s="119" t="s">
        <v>5</v>
      </c>
      <c r="H191" s="120"/>
      <c r="K191" s="109"/>
      <c r="L191" s="109"/>
    </row>
    <row r="192" spans="1:12" ht="15.75">
      <c r="A192" s="3" t="s">
        <v>2</v>
      </c>
      <c r="B192" s="22" t="s">
        <v>12</v>
      </c>
      <c r="C192" s="22" t="s">
        <v>507</v>
      </c>
      <c r="D192" s="22" t="s">
        <v>75</v>
      </c>
      <c r="E192" s="22" t="s">
        <v>516</v>
      </c>
      <c r="F192" s="3" t="s">
        <v>539</v>
      </c>
      <c r="G192" s="3" t="s">
        <v>577</v>
      </c>
      <c r="H192" s="3" t="s">
        <v>578</v>
      </c>
      <c r="K192" s="109"/>
      <c r="L192" s="109"/>
    </row>
    <row r="193" spans="1:12" ht="16.5" thickBot="1">
      <c r="A193" s="4"/>
      <c r="B193" s="19" t="s">
        <v>13</v>
      </c>
      <c r="C193" s="105"/>
      <c r="D193" s="122" t="s">
        <v>516</v>
      </c>
      <c r="E193" s="121"/>
      <c r="F193" s="31"/>
      <c r="G193" s="121"/>
      <c r="H193" s="121"/>
      <c r="K193" s="109"/>
      <c r="L193" s="109"/>
    </row>
    <row r="194" spans="1:12" ht="15.75">
      <c r="A194" s="1"/>
      <c r="B194" s="1"/>
      <c r="C194" s="1"/>
      <c r="D194" s="1"/>
      <c r="E194" s="1"/>
      <c r="F194" s="1"/>
      <c r="G194" s="1"/>
      <c r="H194" s="1"/>
      <c r="L194" s="109"/>
    </row>
    <row r="195" spans="1:9" ht="39" thickBot="1">
      <c r="A195" s="134" t="s">
        <v>64</v>
      </c>
      <c r="B195" s="114" t="s">
        <v>11</v>
      </c>
      <c r="C195" s="6">
        <v>66.06</v>
      </c>
      <c r="D195" s="6">
        <v>71.72</v>
      </c>
      <c r="E195" s="6">
        <f>E197*0.13</f>
        <v>71.16315479108872</v>
      </c>
      <c r="F195" s="6">
        <f>F197*0.13</f>
        <v>75.32582084695703</v>
      </c>
      <c r="G195" s="6">
        <f>G197*0.13</f>
        <v>81.66675790495408</v>
      </c>
      <c r="H195" s="6">
        <f>H197*0.13</f>
        <v>89.85309376640141</v>
      </c>
      <c r="I195" s="138"/>
    </row>
    <row r="196" spans="1:8" ht="13.5" thickBot="1">
      <c r="A196" s="143" t="s">
        <v>79</v>
      </c>
      <c r="B196" s="175" t="s">
        <v>15</v>
      </c>
      <c r="C196" s="13"/>
      <c r="D196" s="13">
        <f>D195/C195*100</f>
        <v>108.5679685134726</v>
      </c>
      <c r="E196" s="13">
        <f>E195/C195*100</f>
        <v>107.72502995926236</v>
      </c>
      <c r="F196" s="13">
        <f>F195/E195*100</f>
        <v>105.84946812446485</v>
      </c>
      <c r="G196" s="13">
        <f>G195/F195*100</f>
        <v>108.41801255757998</v>
      </c>
      <c r="H196" s="13">
        <f>H195/G195*100</f>
        <v>110.02407352937263</v>
      </c>
    </row>
    <row r="197" spans="1:8" ht="26.25" thickBot="1">
      <c r="A197" s="134" t="s">
        <v>63</v>
      </c>
      <c r="B197" s="114" t="s">
        <v>11</v>
      </c>
      <c r="C197" s="142">
        <v>51278.5</v>
      </c>
      <c r="D197" s="12">
        <v>55167.47</v>
      </c>
      <c r="E197" s="140">
        <f>E199/C201</f>
        <v>547.4088830083747</v>
      </c>
      <c r="F197" s="140">
        <f>F199/$E201*100</f>
        <v>579.4293911304387</v>
      </c>
      <c r="G197" s="140">
        <f>G199/$E201*100</f>
        <v>628.2058300381083</v>
      </c>
      <c r="H197" s="140">
        <f>H199/$E201*100</f>
        <v>691.1776443569339</v>
      </c>
    </row>
    <row r="198" spans="1:8" ht="13.5" thickBot="1">
      <c r="A198" s="143" t="s">
        <v>79</v>
      </c>
      <c r="B198" s="175" t="s">
        <v>15</v>
      </c>
      <c r="C198" s="124"/>
      <c r="D198" s="13">
        <f>D197/C197*100</f>
        <v>107.584016693156</v>
      </c>
      <c r="E198" s="13">
        <f>E197/C197*100</f>
        <v>1.0675212477127347</v>
      </c>
      <c r="F198" s="13">
        <f>F197/E197*100</f>
        <v>105.84946812446485</v>
      </c>
      <c r="G198" s="13">
        <f>G197/F197*100</f>
        <v>108.41801255757998</v>
      </c>
      <c r="H198" s="13">
        <f>H197/G197*100</f>
        <v>110.02407352937263</v>
      </c>
    </row>
    <row r="199" spans="1:8" ht="13.5" thickBot="1">
      <c r="A199" s="144" t="s">
        <v>62</v>
      </c>
      <c r="B199" s="114" t="s">
        <v>11</v>
      </c>
      <c r="C199" s="6">
        <v>39878.41</v>
      </c>
      <c r="D199" s="6">
        <v>39655.96</v>
      </c>
      <c r="E199" s="6">
        <v>42571.05</v>
      </c>
      <c r="F199" s="6">
        <v>45061.23</v>
      </c>
      <c r="G199" s="6">
        <v>48854.49</v>
      </c>
      <c r="H199" s="6">
        <v>53751.7</v>
      </c>
    </row>
    <row r="200" spans="1:8" ht="13.5" thickBot="1">
      <c r="A200" s="145" t="s">
        <v>79</v>
      </c>
      <c r="B200" s="175" t="s">
        <v>15</v>
      </c>
      <c r="C200" s="125"/>
      <c r="D200" s="13">
        <f>D199/C199*100</f>
        <v>99.4421793647239</v>
      </c>
      <c r="E200" s="13">
        <f>E199/C199*100</f>
        <v>106.75212477127347</v>
      </c>
      <c r="F200" s="13">
        <f>F199/E199*100</f>
        <v>105.84946812446488</v>
      </c>
      <c r="G200" s="13">
        <f>G199/F199*100</f>
        <v>108.41801255757997</v>
      </c>
      <c r="H200" s="13">
        <f>H199/G199*100</f>
        <v>110.02407352937263</v>
      </c>
    </row>
    <row r="201" spans="1:8" ht="51.75" thickBot="1">
      <c r="A201" s="146" t="s">
        <v>72</v>
      </c>
      <c r="B201" s="114" t="s">
        <v>15</v>
      </c>
      <c r="C201" s="141">
        <f aca="true" t="shared" si="0" ref="C201:H201">C199/C$197*100</f>
        <v>77.76828495373306</v>
      </c>
      <c r="D201" s="141">
        <f t="shared" si="0"/>
        <v>71.88286865429934</v>
      </c>
      <c r="E201" s="141">
        <f t="shared" si="0"/>
        <v>7776.8284953733055</v>
      </c>
      <c r="F201" s="141">
        <f t="shared" si="0"/>
        <v>7776.8284953733055</v>
      </c>
      <c r="G201" s="141">
        <f t="shared" si="0"/>
        <v>7776.828495373305</v>
      </c>
      <c r="H201" s="56">
        <f t="shared" si="0"/>
        <v>7776.828495373305</v>
      </c>
    </row>
    <row r="202" spans="1:8" ht="12.75">
      <c r="A202" s="1"/>
      <c r="B202" s="115"/>
      <c r="C202" s="1"/>
      <c r="D202" s="1"/>
      <c r="E202" s="1"/>
      <c r="F202" s="1"/>
      <c r="G202" s="1"/>
      <c r="H202" s="1"/>
    </row>
    <row r="203" spans="1:11" ht="120" customHeight="1" thickBot="1">
      <c r="A203" s="133" t="s">
        <v>73</v>
      </c>
      <c r="B203" s="114" t="s">
        <v>11</v>
      </c>
      <c r="C203" s="6">
        <f aca="true" t="shared" si="1" ref="C203:H203">C197-C199</f>
        <v>11400.089999999997</v>
      </c>
      <c r="D203" s="6">
        <f t="shared" si="1"/>
        <v>15511.510000000002</v>
      </c>
      <c r="E203" s="6">
        <f t="shared" si="1"/>
        <v>-42023.641116991625</v>
      </c>
      <c r="F203" s="6">
        <f t="shared" si="1"/>
        <v>-44481.80060886956</v>
      </c>
      <c r="G203" s="6">
        <f t="shared" si="1"/>
        <v>-48226.28416996189</v>
      </c>
      <c r="H203" s="6">
        <f t="shared" si="1"/>
        <v>-53060.522355643065</v>
      </c>
      <c r="K203" s="123"/>
    </row>
    <row r="204" spans="1:8" ht="13.5" thickBot="1">
      <c r="A204" s="145" t="s">
        <v>79</v>
      </c>
      <c r="B204" s="175" t="s">
        <v>15</v>
      </c>
      <c r="C204" s="13"/>
      <c r="D204" s="13">
        <f>D203/C203*100</f>
        <v>136.06480299716938</v>
      </c>
      <c r="E204" s="13">
        <f>E203/C203*100</f>
        <v>-368.62552064932504</v>
      </c>
      <c r="F204" s="13">
        <f>F203/E203*100</f>
        <v>105.84946812446488</v>
      </c>
      <c r="G204" s="13">
        <f>G203/F203*100</f>
        <v>108.41801255757997</v>
      </c>
      <c r="H204" s="13">
        <f>H203/G203*100</f>
        <v>110.02407352937264</v>
      </c>
    </row>
    <row r="205" spans="1:8" ht="51.75" thickBot="1">
      <c r="A205" s="146" t="s">
        <v>71</v>
      </c>
      <c r="B205" s="114" t="s">
        <v>15</v>
      </c>
      <c r="C205" s="56">
        <f aca="true" t="shared" si="2" ref="C205:H205">C203/C197*100</f>
        <v>22.23171504626695</v>
      </c>
      <c r="D205" s="56">
        <f t="shared" si="2"/>
        <v>28.117131345700646</v>
      </c>
      <c r="E205" s="56">
        <f t="shared" si="2"/>
        <v>-7676.828495373305</v>
      </c>
      <c r="F205" s="56">
        <f t="shared" si="2"/>
        <v>-7676.8284953733055</v>
      </c>
      <c r="G205" s="56">
        <f t="shared" si="2"/>
        <v>-7676.828495373305</v>
      </c>
      <c r="H205" s="56">
        <f t="shared" si="2"/>
        <v>-7676.8284953733055</v>
      </c>
    </row>
    <row r="207" ht="12.75">
      <c r="A207" s="126" t="s">
        <v>80</v>
      </c>
    </row>
    <row r="208" ht="12.75">
      <c r="A208" s="126"/>
    </row>
    <row r="209" ht="12.75">
      <c r="A209" s="126"/>
    </row>
    <row r="210" spans="1:10" ht="15.75">
      <c r="A210" s="135"/>
      <c r="I210" s="108"/>
      <c r="J210" s="108"/>
    </row>
    <row r="211" spans="1:10" ht="15.75">
      <c r="A211" s="167"/>
      <c r="B211" s="168"/>
      <c r="C211" s="169"/>
      <c r="D211" s="148"/>
      <c r="E211" s="148"/>
      <c r="F211" s="148"/>
      <c r="G211" s="138"/>
      <c r="H211" s="138"/>
      <c r="I211" s="108"/>
      <c r="J211" s="108"/>
    </row>
    <row r="212" spans="1:10" ht="15.75">
      <c r="A212" s="167"/>
      <c r="B212" s="168"/>
      <c r="C212" s="169"/>
      <c r="D212" s="148"/>
      <c r="E212" s="148"/>
      <c r="F212" s="148"/>
      <c r="G212" s="148"/>
      <c r="H212" s="148"/>
      <c r="I212" s="148"/>
      <c r="J212" s="108"/>
    </row>
    <row r="213" spans="1:10" ht="15.75">
      <c r="A213" s="167"/>
      <c r="B213" s="168"/>
      <c r="C213" s="169"/>
      <c r="D213" s="148"/>
      <c r="E213" s="148"/>
      <c r="F213" s="148"/>
      <c r="G213" s="148"/>
      <c r="H213" s="148"/>
      <c r="I213" s="148"/>
      <c r="J213" s="108"/>
    </row>
    <row r="214" spans="1:10" ht="15.75">
      <c r="A214" s="167"/>
      <c r="B214" s="168"/>
      <c r="C214" s="148"/>
      <c r="D214" s="148"/>
      <c r="E214" s="148"/>
      <c r="F214" s="148"/>
      <c r="G214" s="148"/>
      <c r="H214" s="148"/>
      <c r="I214" s="148"/>
      <c r="J214" s="108"/>
    </row>
    <row r="215" spans="1:9" ht="15.75">
      <c r="A215" s="167"/>
      <c r="B215" s="168"/>
      <c r="C215" s="169"/>
      <c r="D215" s="148"/>
      <c r="E215" s="148"/>
      <c r="F215" s="148"/>
      <c r="G215" s="148"/>
      <c r="H215" s="148"/>
      <c r="I215" s="138"/>
    </row>
    <row r="216" spans="1:9" ht="15.75">
      <c r="A216" s="138"/>
      <c r="B216" s="138"/>
      <c r="C216" s="138"/>
      <c r="D216" s="138"/>
      <c r="E216" s="138"/>
      <c r="F216" s="138"/>
      <c r="G216" s="148"/>
      <c r="H216" s="148"/>
      <c r="I216" s="138"/>
    </row>
    <row r="217" spans="1:8" ht="12.75">
      <c r="A217" s="138"/>
      <c r="B217" s="138"/>
      <c r="C217" s="138"/>
      <c r="D217" s="138"/>
      <c r="E217" s="138"/>
      <c r="F217" s="138"/>
      <c r="G217" s="138"/>
      <c r="H217" s="138"/>
    </row>
    <row r="218" spans="1:8" ht="12.75">
      <c r="A218" s="138"/>
      <c r="B218" s="138"/>
      <c r="C218" s="138"/>
      <c r="D218" s="138"/>
      <c r="E218" s="138"/>
      <c r="F218" s="138"/>
      <c r="G218" s="138"/>
      <c r="H218" s="138"/>
    </row>
  </sheetData>
  <sheetProtection/>
  <mergeCells count="4">
    <mergeCell ref="B6:G6"/>
    <mergeCell ref="A3:K3"/>
    <mergeCell ref="B7:G7"/>
    <mergeCell ref="C5:F5"/>
  </mergeCells>
  <printOptions/>
  <pageMargins left="0" right="0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122" max="9" man="1"/>
    <brk id="1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6.25390625" style="152" customWidth="1"/>
    <col min="2" max="16384" width="9.125" style="152" customWidth="1"/>
  </cols>
  <sheetData>
    <row r="1" ht="15.75">
      <c r="A1" s="150"/>
    </row>
    <row r="2" ht="15.75">
      <c r="A2" s="151" t="s">
        <v>501</v>
      </c>
    </row>
    <row r="3" ht="15.75">
      <c r="A3" s="153" t="s">
        <v>500</v>
      </c>
    </row>
    <row r="5" ht="15">
      <c r="A5" s="154" t="s">
        <v>84</v>
      </c>
    </row>
    <row r="6" ht="15">
      <c r="A6" s="155"/>
    </row>
    <row r="7" ht="15">
      <c r="A7" s="155" t="s">
        <v>85</v>
      </c>
    </row>
    <row r="8" ht="15">
      <c r="A8" s="156" t="s">
        <v>86</v>
      </c>
    </row>
    <row r="9" ht="15">
      <c r="A9" s="156" t="s">
        <v>87</v>
      </c>
    </row>
    <row r="10" ht="15">
      <c r="A10" s="156" t="s">
        <v>88</v>
      </c>
    </row>
    <row r="11" ht="15">
      <c r="A11" s="156" t="s">
        <v>89</v>
      </c>
    </row>
    <row r="12" ht="15">
      <c r="A12" s="156" t="s">
        <v>90</v>
      </c>
    </row>
    <row r="13" ht="15">
      <c r="A13" s="156" t="s">
        <v>91</v>
      </c>
    </row>
    <row r="14" ht="15">
      <c r="A14" s="156" t="s">
        <v>92</v>
      </c>
    </row>
    <row r="15" ht="15">
      <c r="A15" s="156" t="s">
        <v>93</v>
      </c>
    </row>
    <row r="16" ht="15">
      <c r="A16" s="156" t="s">
        <v>94</v>
      </c>
    </row>
    <row r="17" ht="15">
      <c r="A17" s="156" t="s">
        <v>95</v>
      </c>
    </row>
    <row r="18" ht="15">
      <c r="A18" s="156" t="s">
        <v>96</v>
      </c>
    </row>
    <row r="19" ht="15">
      <c r="A19" s="156" t="s">
        <v>97</v>
      </c>
    </row>
    <row r="20" ht="15">
      <c r="A20" s="157"/>
    </row>
    <row r="21" ht="15">
      <c r="A21" s="158" t="s">
        <v>98</v>
      </c>
    </row>
    <row r="22" ht="15">
      <c r="A22" s="155" t="s">
        <v>99</v>
      </c>
    </row>
    <row r="23" ht="15">
      <c r="A23" s="159" t="s">
        <v>100</v>
      </c>
    </row>
    <row r="24" ht="15">
      <c r="A24" s="160" t="s">
        <v>101</v>
      </c>
    </row>
    <row r="25" ht="15">
      <c r="A25" s="160" t="s">
        <v>102</v>
      </c>
    </row>
    <row r="26" ht="15">
      <c r="A26" s="160" t="s">
        <v>103</v>
      </c>
    </row>
    <row r="27" ht="15">
      <c r="A27" s="160" t="s">
        <v>104</v>
      </c>
    </row>
    <row r="28" ht="15">
      <c r="A28" s="160" t="s">
        <v>105</v>
      </c>
    </row>
    <row r="29" ht="15">
      <c r="A29" s="160" t="s">
        <v>106</v>
      </c>
    </row>
    <row r="30" ht="15">
      <c r="A30" s="160" t="s">
        <v>107</v>
      </c>
    </row>
    <row r="31" ht="15">
      <c r="A31" s="160" t="s">
        <v>108</v>
      </c>
    </row>
    <row r="32" ht="15">
      <c r="A32" s="160" t="s">
        <v>109</v>
      </c>
    </row>
    <row r="33" ht="15">
      <c r="A33" s="160" t="s">
        <v>110</v>
      </c>
    </row>
    <row r="34" ht="15">
      <c r="A34" s="160" t="s">
        <v>111</v>
      </c>
    </row>
    <row r="35" ht="15">
      <c r="A35" s="160" t="s">
        <v>112</v>
      </c>
    </row>
    <row r="36" ht="15">
      <c r="A36" s="160" t="s">
        <v>113</v>
      </c>
    </row>
    <row r="37" ht="15">
      <c r="A37" s="160" t="s">
        <v>114</v>
      </c>
    </row>
    <row r="38" ht="15">
      <c r="A38" s="160" t="s">
        <v>115</v>
      </c>
    </row>
    <row r="39" ht="15">
      <c r="A39" s="160" t="s">
        <v>116</v>
      </c>
    </row>
    <row r="40" ht="15">
      <c r="A40" s="160" t="s">
        <v>117</v>
      </c>
    </row>
    <row r="41" ht="15">
      <c r="A41" s="160" t="s">
        <v>118</v>
      </c>
    </row>
    <row r="42" ht="15">
      <c r="A42" s="155" t="s">
        <v>119</v>
      </c>
    </row>
    <row r="43" ht="15">
      <c r="A43" s="159" t="s">
        <v>100</v>
      </c>
    </row>
    <row r="44" ht="15">
      <c r="A44" s="160" t="s">
        <v>529</v>
      </c>
    </row>
    <row r="45" ht="15">
      <c r="A45" s="160" t="s">
        <v>120</v>
      </c>
    </row>
    <row r="46" ht="15">
      <c r="A46" s="160" t="s">
        <v>121</v>
      </c>
    </row>
    <row r="47" ht="15">
      <c r="A47" s="160" t="s">
        <v>122</v>
      </c>
    </row>
    <row r="48" ht="15">
      <c r="A48" s="160" t="s">
        <v>123</v>
      </c>
    </row>
    <row r="49" ht="15">
      <c r="A49" s="160" t="s">
        <v>124</v>
      </c>
    </row>
    <row r="50" ht="15">
      <c r="A50" s="160" t="s">
        <v>125</v>
      </c>
    </row>
    <row r="51" ht="15">
      <c r="A51" s="160" t="s">
        <v>126</v>
      </c>
    </row>
    <row r="52" ht="15">
      <c r="A52" s="160" t="s">
        <v>127</v>
      </c>
    </row>
    <row r="53" ht="15">
      <c r="A53" s="160" t="s">
        <v>128</v>
      </c>
    </row>
    <row r="54" ht="15">
      <c r="A54" s="160" t="s">
        <v>129</v>
      </c>
    </row>
    <row r="55" ht="15">
      <c r="A55" s="155" t="s">
        <v>130</v>
      </c>
    </row>
    <row r="56" ht="15">
      <c r="A56" s="159" t="s">
        <v>131</v>
      </c>
    </row>
    <row r="57" ht="15">
      <c r="A57" s="160" t="s">
        <v>132</v>
      </c>
    </row>
    <row r="58" ht="15">
      <c r="A58" s="160" t="s">
        <v>133</v>
      </c>
    </row>
    <row r="59" ht="15">
      <c r="A59" s="160" t="s">
        <v>134</v>
      </c>
    </row>
    <row r="60" ht="15">
      <c r="A60" s="160" t="s">
        <v>135</v>
      </c>
    </row>
    <row r="61" ht="15">
      <c r="A61" s="160" t="s">
        <v>217</v>
      </c>
    </row>
    <row r="62" ht="15">
      <c r="A62" s="155" t="s">
        <v>136</v>
      </c>
    </row>
    <row r="63" ht="15">
      <c r="A63" s="159" t="s">
        <v>131</v>
      </c>
    </row>
    <row r="64" ht="15">
      <c r="A64" s="160" t="s">
        <v>137</v>
      </c>
    </row>
    <row r="65" ht="15">
      <c r="A65" s="160" t="s">
        <v>138</v>
      </c>
    </row>
    <row r="66" ht="15">
      <c r="A66" s="160" t="s">
        <v>139</v>
      </c>
    </row>
    <row r="67" ht="15">
      <c r="A67" s="160" t="s">
        <v>140</v>
      </c>
    </row>
    <row r="68" ht="15">
      <c r="A68" s="160" t="s">
        <v>141</v>
      </c>
    </row>
    <row r="69" spans="1:2" ht="15">
      <c r="A69" s="160" t="s">
        <v>508</v>
      </c>
      <c r="B69" s="92"/>
    </row>
    <row r="70" ht="15">
      <c r="A70" s="160" t="s">
        <v>142</v>
      </c>
    </row>
    <row r="71" ht="15">
      <c r="A71" s="160" t="s">
        <v>143</v>
      </c>
    </row>
    <row r="72" ht="15">
      <c r="A72" s="160" t="s">
        <v>144</v>
      </c>
    </row>
    <row r="73" ht="15">
      <c r="A73" s="160" t="s">
        <v>145</v>
      </c>
    </row>
    <row r="74" ht="15">
      <c r="A74" s="160" t="s">
        <v>146</v>
      </c>
    </row>
    <row r="75" ht="15">
      <c r="A75" s="160" t="s">
        <v>147</v>
      </c>
    </row>
    <row r="76" ht="15">
      <c r="A76" s="155" t="s">
        <v>148</v>
      </c>
    </row>
    <row r="77" ht="15">
      <c r="A77" s="159" t="s">
        <v>131</v>
      </c>
    </row>
    <row r="78" ht="15">
      <c r="A78" s="160" t="s">
        <v>149</v>
      </c>
    </row>
    <row r="79" ht="15">
      <c r="A79" s="160" t="s">
        <v>150</v>
      </c>
    </row>
    <row r="80" ht="15">
      <c r="A80" s="160" t="s">
        <v>151</v>
      </c>
    </row>
    <row r="81" ht="15">
      <c r="A81" s="160" t="s">
        <v>152</v>
      </c>
    </row>
    <row r="82" ht="15">
      <c r="A82" s="160" t="s">
        <v>153</v>
      </c>
    </row>
    <row r="83" ht="15">
      <c r="A83" s="160" t="s">
        <v>154</v>
      </c>
    </row>
    <row r="84" ht="15">
      <c r="A84" s="160" t="s">
        <v>155</v>
      </c>
    </row>
    <row r="85" ht="15">
      <c r="A85" s="155" t="s">
        <v>156</v>
      </c>
    </row>
    <row r="86" ht="15">
      <c r="A86" s="159" t="s">
        <v>131</v>
      </c>
    </row>
    <row r="87" ht="15">
      <c r="A87" s="160" t="s">
        <v>157</v>
      </c>
    </row>
    <row r="88" ht="15">
      <c r="A88" s="160" t="s">
        <v>158</v>
      </c>
    </row>
    <row r="89" ht="15">
      <c r="A89" s="160" t="s">
        <v>159</v>
      </c>
    </row>
    <row r="90" ht="15">
      <c r="A90" s="160" t="s">
        <v>160</v>
      </c>
    </row>
    <row r="91" ht="15">
      <c r="A91" s="160" t="s">
        <v>161</v>
      </c>
    </row>
    <row r="92" ht="15">
      <c r="A92" s="160" t="s">
        <v>162</v>
      </c>
    </row>
    <row r="93" ht="15">
      <c r="A93" s="160" t="s">
        <v>163</v>
      </c>
    </row>
    <row r="94" ht="15">
      <c r="A94" s="160" t="s">
        <v>164</v>
      </c>
    </row>
    <row r="95" ht="15">
      <c r="A95" s="160" t="s">
        <v>165</v>
      </c>
    </row>
    <row r="96" ht="15">
      <c r="A96" s="160" t="s">
        <v>166</v>
      </c>
    </row>
    <row r="97" ht="15">
      <c r="A97" s="155" t="s">
        <v>167</v>
      </c>
    </row>
    <row r="98" ht="15">
      <c r="A98" s="159" t="s">
        <v>131</v>
      </c>
    </row>
    <row r="99" ht="15">
      <c r="A99" s="160" t="s">
        <v>168</v>
      </c>
    </row>
    <row r="100" ht="15">
      <c r="A100" s="160" t="s">
        <v>169</v>
      </c>
    </row>
    <row r="101" ht="15">
      <c r="A101" s="160" t="s">
        <v>170</v>
      </c>
    </row>
    <row r="102" ht="15">
      <c r="A102" s="160" t="s">
        <v>171</v>
      </c>
    </row>
    <row r="103" ht="15">
      <c r="A103" s="155" t="s">
        <v>172</v>
      </c>
    </row>
    <row r="104" ht="15">
      <c r="A104" s="159" t="s">
        <v>131</v>
      </c>
    </row>
    <row r="105" ht="15">
      <c r="A105" s="160" t="s">
        <v>173</v>
      </c>
    </row>
    <row r="106" ht="15">
      <c r="A106" s="160" t="s">
        <v>174</v>
      </c>
    </row>
    <row r="107" ht="15">
      <c r="A107" s="160" t="s">
        <v>509</v>
      </c>
    </row>
    <row r="108" ht="15">
      <c r="A108" s="160" t="s">
        <v>175</v>
      </c>
    </row>
    <row r="109" ht="15">
      <c r="A109" s="160" t="s">
        <v>176</v>
      </c>
    </row>
    <row r="110" ht="15">
      <c r="A110" s="160" t="s">
        <v>177</v>
      </c>
    </row>
    <row r="111" ht="15">
      <c r="A111" s="160" t="s">
        <v>178</v>
      </c>
    </row>
    <row r="112" ht="15">
      <c r="A112" s="155" t="s">
        <v>179</v>
      </c>
    </row>
    <row r="113" ht="15">
      <c r="A113" s="159" t="s">
        <v>131</v>
      </c>
    </row>
    <row r="114" ht="15">
      <c r="A114" s="160" t="s">
        <v>180</v>
      </c>
    </row>
    <row r="115" ht="15">
      <c r="A115" s="160" t="s">
        <v>181</v>
      </c>
    </row>
    <row r="116" ht="15">
      <c r="A116" s="160" t="s">
        <v>182</v>
      </c>
    </row>
    <row r="117" ht="15">
      <c r="A117" s="160" t="s">
        <v>183</v>
      </c>
    </row>
    <row r="118" ht="15">
      <c r="A118" s="160" t="s">
        <v>184</v>
      </c>
    </row>
    <row r="119" ht="15">
      <c r="A119" s="160" t="s">
        <v>185</v>
      </c>
    </row>
    <row r="120" ht="15">
      <c r="A120" s="160" t="s">
        <v>186</v>
      </c>
    </row>
    <row r="121" ht="15">
      <c r="A121" s="160" t="s">
        <v>187</v>
      </c>
    </row>
    <row r="122" ht="15">
      <c r="A122" s="160" t="s">
        <v>188</v>
      </c>
    </row>
    <row r="123" ht="15">
      <c r="A123" s="160" t="s">
        <v>189</v>
      </c>
    </row>
    <row r="124" ht="15">
      <c r="A124" s="160" t="s">
        <v>190</v>
      </c>
    </row>
    <row r="125" ht="15">
      <c r="A125" s="160" t="s">
        <v>191</v>
      </c>
    </row>
    <row r="126" ht="15">
      <c r="A126" s="160" t="s">
        <v>192</v>
      </c>
    </row>
    <row r="127" ht="15">
      <c r="A127" s="155" t="s">
        <v>193</v>
      </c>
    </row>
    <row r="128" ht="15">
      <c r="A128" s="159" t="s">
        <v>131</v>
      </c>
    </row>
    <row r="129" ht="15">
      <c r="A129" s="160" t="s">
        <v>510</v>
      </c>
    </row>
    <row r="130" ht="15">
      <c r="A130" s="160" t="s">
        <v>194</v>
      </c>
    </row>
    <row r="131" ht="15">
      <c r="A131" s="160" t="s">
        <v>195</v>
      </c>
    </row>
    <row r="132" ht="15">
      <c r="A132" s="160" t="s">
        <v>141</v>
      </c>
    </row>
    <row r="133" ht="15">
      <c r="A133" s="160" t="s">
        <v>196</v>
      </c>
    </row>
    <row r="134" ht="15">
      <c r="A134" s="160" t="s">
        <v>197</v>
      </c>
    </row>
    <row r="135" ht="15">
      <c r="A135" s="160" t="s">
        <v>198</v>
      </c>
    </row>
    <row r="136" ht="15">
      <c r="A136" s="160" t="s">
        <v>199</v>
      </c>
    </row>
    <row r="137" ht="15">
      <c r="A137" s="160" t="s">
        <v>200</v>
      </c>
    </row>
    <row r="138" ht="15">
      <c r="A138" s="155" t="s">
        <v>201</v>
      </c>
    </row>
    <row r="139" ht="15">
      <c r="A139" s="159" t="s">
        <v>131</v>
      </c>
    </row>
    <row r="140" ht="15">
      <c r="A140" s="160" t="s">
        <v>202</v>
      </c>
    </row>
    <row r="141" ht="15">
      <c r="A141" s="160" t="s">
        <v>203</v>
      </c>
    </row>
    <row r="142" ht="15">
      <c r="A142" s="160" t="s">
        <v>204</v>
      </c>
    </row>
    <row r="143" ht="15">
      <c r="A143" s="160" t="s">
        <v>205</v>
      </c>
    </row>
    <row r="144" ht="15">
      <c r="A144" s="160" t="s">
        <v>206</v>
      </c>
    </row>
    <row r="145" ht="15">
      <c r="A145" s="160" t="s">
        <v>207</v>
      </c>
    </row>
    <row r="146" ht="15">
      <c r="A146" s="160" t="s">
        <v>208</v>
      </c>
    </row>
    <row r="147" ht="15">
      <c r="A147" s="160" t="s">
        <v>209</v>
      </c>
    </row>
    <row r="148" ht="15">
      <c r="A148" s="160" t="s">
        <v>210</v>
      </c>
    </row>
    <row r="149" ht="15">
      <c r="A149" s="155" t="s">
        <v>211</v>
      </c>
    </row>
    <row r="150" ht="15">
      <c r="A150" s="159" t="s">
        <v>131</v>
      </c>
    </row>
    <row r="151" ht="15">
      <c r="A151" s="160" t="s">
        <v>212</v>
      </c>
    </row>
    <row r="152" ht="15">
      <c r="A152" s="160" t="s">
        <v>213</v>
      </c>
    </row>
    <row r="153" ht="15">
      <c r="A153" s="160" t="s">
        <v>214</v>
      </c>
    </row>
    <row r="154" ht="15">
      <c r="A154" s="160" t="s">
        <v>528</v>
      </c>
    </row>
    <row r="155" ht="15">
      <c r="A155" s="160" t="s">
        <v>215</v>
      </c>
    </row>
    <row r="156" ht="15">
      <c r="A156" s="160" t="s">
        <v>216</v>
      </c>
    </row>
    <row r="157" ht="15">
      <c r="A157" s="160" t="s">
        <v>217</v>
      </c>
    </row>
    <row r="158" ht="15">
      <c r="A158" s="160" t="s">
        <v>218</v>
      </c>
    </row>
    <row r="159" ht="15">
      <c r="A159" s="160" t="s">
        <v>219</v>
      </c>
    </row>
    <row r="160" ht="15">
      <c r="A160" s="155" t="s">
        <v>220</v>
      </c>
    </row>
    <row r="161" ht="15">
      <c r="A161" s="159" t="s">
        <v>131</v>
      </c>
    </row>
    <row r="162" ht="15">
      <c r="A162" s="160" t="s">
        <v>511</v>
      </c>
    </row>
    <row r="163" ht="15">
      <c r="A163" s="160" t="s">
        <v>221</v>
      </c>
    </row>
    <row r="164" ht="15">
      <c r="A164" s="160" t="s">
        <v>222</v>
      </c>
    </row>
    <row r="165" ht="15">
      <c r="A165" s="160" t="s">
        <v>223</v>
      </c>
    </row>
    <row r="166" ht="15">
      <c r="A166" s="160" t="s">
        <v>224</v>
      </c>
    </row>
    <row r="167" ht="15">
      <c r="A167" s="160" t="s">
        <v>225</v>
      </c>
    </row>
    <row r="168" ht="15">
      <c r="A168" s="160" t="s">
        <v>226</v>
      </c>
    </row>
    <row r="169" ht="15">
      <c r="A169" s="160" t="s">
        <v>124</v>
      </c>
    </row>
    <row r="170" ht="15">
      <c r="A170" s="160" t="s">
        <v>512</v>
      </c>
    </row>
    <row r="171" ht="15">
      <c r="A171" s="160" t="s">
        <v>227</v>
      </c>
    </row>
    <row r="172" ht="15">
      <c r="A172" s="160" t="s">
        <v>228</v>
      </c>
    </row>
    <row r="173" ht="15">
      <c r="A173" s="155" t="s">
        <v>229</v>
      </c>
    </row>
    <row r="174" ht="15">
      <c r="A174" s="159" t="s">
        <v>131</v>
      </c>
    </row>
    <row r="175" ht="15">
      <c r="A175" s="161" t="s">
        <v>230</v>
      </c>
    </row>
    <row r="176" ht="15">
      <c r="A176" s="160" t="s">
        <v>231</v>
      </c>
    </row>
    <row r="177" ht="15">
      <c r="A177" s="160" t="s">
        <v>232</v>
      </c>
    </row>
    <row r="178" ht="15">
      <c r="A178" s="160" t="s">
        <v>233</v>
      </c>
    </row>
    <row r="179" ht="15">
      <c r="A179" s="160" t="s">
        <v>234</v>
      </c>
    </row>
    <row r="180" ht="15">
      <c r="A180" s="160" t="s">
        <v>235</v>
      </c>
    </row>
    <row r="181" ht="15">
      <c r="A181" s="160" t="s">
        <v>236</v>
      </c>
    </row>
    <row r="182" ht="15">
      <c r="A182" s="160" t="s">
        <v>237</v>
      </c>
    </row>
    <row r="183" ht="15">
      <c r="A183" s="155" t="s">
        <v>238</v>
      </c>
    </row>
    <row r="184" ht="15">
      <c r="A184" s="159" t="s">
        <v>239</v>
      </c>
    </row>
    <row r="185" ht="15">
      <c r="A185" s="160" t="s">
        <v>240</v>
      </c>
    </row>
    <row r="186" ht="15">
      <c r="A186" s="160" t="s">
        <v>241</v>
      </c>
    </row>
    <row r="187" ht="15">
      <c r="A187" s="160" t="s">
        <v>242</v>
      </c>
    </row>
    <row r="188" ht="15">
      <c r="A188" s="160" t="s">
        <v>527</v>
      </c>
    </row>
    <row r="189" ht="15">
      <c r="A189" s="160" t="s">
        <v>243</v>
      </c>
    </row>
    <row r="190" ht="15">
      <c r="A190" s="160" t="s">
        <v>244</v>
      </c>
    </row>
    <row r="191" ht="15">
      <c r="A191" s="160" t="s">
        <v>245</v>
      </c>
    </row>
    <row r="192" ht="15">
      <c r="A192" s="160" t="s">
        <v>246</v>
      </c>
    </row>
    <row r="193" ht="15">
      <c r="A193" s="160" t="s">
        <v>247</v>
      </c>
    </row>
    <row r="194" ht="15">
      <c r="A194" s="160" t="s">
        <v>248</v>
      </c>
    </row>
    <row r="195" ht="15">
      <c r="A195" s="160" t="s">
        <v>249</v>
      </c>
    </row>
    <row r="196" ht="15">
      <c r="A196" s="160" t="s">
        <v>250</v>
      </c>
    </row>
    <row r="197" ht="15">
      <c r="A197" s="155" t="s">
        <v>251</v>
      </c>
    </row>
    <row r="198" ht="15">
      <c r="A198" s="159" t="s">
        <v>131</v>
      </c>
    </row>
    <row r="199" ht="15">
      <c r="A199" s="160" t="s">
        <v>252</v>
      </c>
    </row>
    <row r="200" ht="15">
      <c r="A200" s="160" t="s">
        <v>253</v>
      </c>
    </row>
    <row r="201" ht="15">
      <c r="A201" s="160" t="s">
        <v>254</v>
      </c>
    </row>
    <row r="202" ht="15">
      <c r="A202" s="160" t="s">
        <v>255</v>
      </c>
    </row>
    <row r="203" ht="15">
      <c r="A203" s="160" t="s">
        <v>256</v>
      </c>
    </row>
    <row r="204" ht="15">
      <c r="A204" s="160" t="s">
        <v>257</v>
      </c>
    </row>
    <row r="205" ht="15">
      <c r="A205" s="160" t="s">
        <v>258</v>
      </c>
    </row>
    <row r="206" ht="15">
      <c r="A206" s="160" t="s">
        <v>259</v>
      </c>
    </row>
    <row r="207" ht="15">
      <c r="A207" s="160" t="s">
        <v>260</v>
      </c>
    </row>
    <row r="208" ht="15">
      <c r="A208" s="160" t="s">
        <v>261</v>
      </c>
    </row>
    <row r="209" ht="15">
      <c r="A209" s="155" t="s">
        <v>262</v>
      </c>
    </row>
    <row r="210" ht="15">
      <c r="A210" s="159" t="s">
        <v>131</v>
      </c>
    </row>
    <row r="211" ht="15">
      <c r="A211" s="160" t="s">
        <v>263</v>
      </c>
    </row>
    <row r="212" ht="15">
      <c r="A212" s="160" t="s">
        <v>264</v>
      </c>
    </row>
    <row r="213" ht="15">
      <c r="A213" s="160" t="s">
        <v>265</v>
      </c>
    </row>
    <row r="214" ht="15">
      <c r="A214" s="160" t="s">
        <v>530</v>
      </c>
    </row>
    <row r="215" ht="15">
      <c r="A215" s="160" t="s">
        <v>266</v>
      </c>
    </row>
    <row r="216" ht="15">
      <c r="A216" s="160" t="s">
        <v>267</v>
      </c>
    </row>
    <row r="217" ht="15">
      <c r="A217" s="160" t="s">
        <v>268</v>
      </c>
    </row>
    <row r="218" ht="15">
      <c r="A218" s="155" t="s">
        <v>269</v>
      </c>
    </row>
    <row r="219" ht="15">
      <c r="A219" s="159" t="s">
        <v>131</v>
      </c>
    </row>
    <row r="220" ht="15">
      <c r="A220" s="160" t="s">
        <v>270</v>
      </c>
    </row>
    <row r="221" ht="15">
      <c r="A221" s="160" t="s">
        <v>271</v>
      </c>
    </row>
    <row r="222" ht="15">
      <c r="A222" s="160" t="s">
        <v>526</v>
      </c>
    </row>
    <row r="223" ht="15">
      <c r="A223" s="160" t="s">
        <v>272</v>
      </c>
    </row>
    <row r="224" ht="15">
      <c r="A224" s="160" t="s">
        <v>273</v>
      </c>
    </row>
    <row r="225" ht="15">
      <c r="A225" s="160" t="s">
        <v>203</v>
      </c>
    </row>
    <row r="226" ht="15">
      <c r="A226" s="160" t="s">
        <v>274</v>
      </c>
    </row>
    <row r="227" ht="15">
      <c r="A227" s="160" t="s">
        <v>187</v>
      </c>
    </row>
    <row r="228" ht="15">
      <c r="A228" s="160" t="s">
        <v>531</v>
      </c>
    </row>
    <row r="229" ht="15">
      <c r="A229" s="160" t="s">
        <v>275</v>
      </c>
    </row>
    <row r="230" ht="15">
      <c r="A230" s="160" t="s">
        <v>276</v>
      </c>
    </row>
    <row r="231" ht="15">
      <c r="A231" s="160" t="s">
        <v>277</v>
      </c>
    </row>
    <row r="232" ht="15">
      <c r="A232" s="160" t="s">
        <v>278</v>
      </c>
    </row>
    <row r="233" ht="15">
      <c r="A233" s="160" t="s">
        <v>525</v>
      </c>
    </row>
    <row r="234" ht="15">
      <c r="A234" s="160" t="s">
        <v>279</v>
      </c>
    </row>
    <row r="235" ht="15">
      <c r="A235" s="155" t="s">
        <v>280</v>
      </c>
    </row>
    <row r="236" ht="15">
      <c r="A236" s="159" t="s">
        <v>131</v>
      </c>
    </row>
    <row r="237" ht="15">
      <c r="A237" s="160" t="s">
        <v>281</v>
      </c>
    </row>
    <row r="238" ht="15">
      <c r="A238" s="160" t="s">
        <v>282</v>
      </c>
    </row>
    <row r="239" ht="15">
      <c r="A239" s="160" t="s">
        <v>283</v>
      </c>
    </row>
    <row r="240" ht="15">
      <c r="A240" s="155" t="s">
        <v>284</v>
      </c>
    </row>
    <row r="241" ht="15">
      <c r="A241" s="159" t="s">
        <v>131</v>
      </c>
    </row>
    <row r="242" ht="15">
      <c r="A242" s="160" t="s">
        <v>285</v>
      </c>
    </row>
    <row r="243" ht="15">
      <c r="A243" s="160" t="s">
        <v>286</v>
      </c>
    </row>
    <row r="244" ht="15">
      <c r="A244" s="160" t="s">
        <v>287</v>
      </c>
    </row>
    <row r="245" ht="15">
      <c r="A245" s="160" t="s">
        <v>288</v>
      </c>
    </row>
    <row r="246" ht="15">
      <c r="A246" s="160" t="s">
        <v>289</v>
      </c>
    </row>
    <row r="247" ht="15">
      <c r="A247" s="160" t="s">
        <v>290</v>
      </c>
    </row>
    <row r="248" ht="15">
      <c r="A248" s="160" t="s">
        <v>291</v>
      </c>
    </row>
    <row r="249" ht="15">
      <c r="A249" s="160" t="s">
        <v>292</v>
      </c>
    </row>
    <row r="250" ht="15">
      <c r="A250" s="160" t="s">
        <v>293</v>
      </c>
    </row>
    <row r="251" ht="15">
      <c r="A251" s="155" t="s">
        <v>294</v>
      </c>
    </row>
    <row r="252" ht="15">
      <c r="A252" s="159" t="s">
        <v>131</v>
      </c>
    </row>
    <row r="253" ht="15">
      <c r="A253" s="160" t="s">
        <v>295</v>
      </c>
    </row>
    <row r="254" ht="15">
      <c r="A254" s="160" t="s">
        <v>296</v>
      </c>
    </row>
    <row r="255" ht="15">
      <c r="A255" s="160" t="s">
        <v>297</v>
      </c>
    </row>
    <row r="256" ht="15">
      <c r="A256" s="160" t="s">
        <v>298</v>
      </c>
    </row>
    <row r="257" ht="15">
      <c r="A257" s="160" t="s">
        <v>299</v>
      </c>
    </row>
    <row r="258" ht="15">
      <c r="A258" s="160" t="s">
        <v>300</v>
      </c>
    </row>
    <row r="259" ht="15">
      <c r="A259" s="160" t="s">
        <v>301</v>
      </c>
    </row>
    <row r="260" ht="15">
      <c r="A260" s="160" t="s">
        <v>302</v>
      </c>
    </row>
    <row r="261" ht="15">
      <c r="A261" s="155" t="s">
        <v>303</v>
      </c>
    </row>
    <row r="262" ht="15">
      <c r="A262" s="159" t="s">
        <v>131</v>
      </c>
    </row>
    <row r="263" ht="15">
      <c r="A263" s="160" t="s">
        <v>304</v>
      </c>
    </row>
    <row r="264" ht="15">
      <c r="A264" s="160" t="s">
        <v>305</v>
      </c>
    </row>
    <row r="265" ht="15">
      <c r="A265" s="160" t="s">
        <v>306</v>
      </c>
    </row>
    <row r="266" ht="15">
      <c r="A266" s="160" t="s">
        <v>307</v>
      </c>
    </row>
    <row r="267" ht="15">
      <c r="A267" s="160" t="s">
        <v>308</v>
      </c>
    </row>
    <row r="268" ht="15">
      <c r="A268" s="160" t="s">
        <v>309</v>
      </c>
    </row>
    <row r="269" ht="15">
      <c r="A269" s="160" t="s">
        <v>532</v>
      </c>
    </row>
    <row r="270" ht="15">
      <c r="A270" s="160" t="s">
        <v>310</v>
      </c>
    </row>
    <row r="271" ht="15">
      <c r="A271" s="160" t="s">
        <v>311</v>
      </c>
    </row>
    <row r="272" ht="15">
      <c r="A272" s="160" t="s">
        <v>312</v>
      </c>
    </row>
    <row r="273" ht="15">
      <c r="A273" s="160" t="s">
        <v>313</v>
      </c>
    </row>
    <row r="274" ht="15">
      <c r="A274" s="160" t="s">
        <v>314</v>
      </c>
    </row>
    <row r="275" ht="15">
      <c r="A275" s="160" t="s">
        <v>315</v>
      </c>
    </row>
    <row r="276" ht="15">
      <c r="A276" s="155" t="s">
        <v>316</v>
      </c>
    </row>
    <row r="277" ht="15">
      <c r="A277" s="159" t="s">
        <v>131</v>
      </c>
    </row>
    <row r="278" ht="15">
      <c r="A278" s="160" t="s">
        <v>517</v>
      </c>
    </row>
    <row r="279" ht="15">
      <c r="A279" s="160" t="s">
        <v>317</v>
      </c>
    </row>
    <row r="280" ht="15">
      <c r="A280" s="160" t="s">
        <v>318</v>
      </c>
    </row>
    <row r="281" ht="15">
      <c r="A281" s="160" t="s">
        <v>319</v>
      </c>
    </row>
    <row r="282" ht="15">
      <c r="A282" s="160" t="s">
        <v>320</v>
      </c>
    </row>
    <row r="283" ht="15">
      <c r="A283" s="160" t="s">
        <v>321</v>
      </c>
    </row>
    <row r="284" ht="15">
      <c r="A284" s="160" t="s">
        <v>322</v>
      </c>
    </row>
    <row r="285" ht="15">
      <c r="A285" s="155" t="s">
        <v>323</v>
      </c>
    </row>
    <row r="286" ht="15">
      <c r="A286" s="159" t="s">
        <v>131</v>
      </c>
    </row>
    <row r="287" ht="15">
      <c r="A287" s="160" t="s">
        <v>324</v>
      </c>
    </row>
    <row r="288" ht="15">
      <c r="A288" s="160" t="s">
        <v>325</v>
      </c>
    </row>
    <row r="289" ht="15">
      <c r="A289" s="160" t="s">
        <v>326</v>
      </c>
    </row>
    <row r="290" ht="15">
      <c r="A290" s="160" t="s">
        <v>327</v>
      </c>
    </row>
    <row r="291" ht="15">
      <c r="A291" s="160" t="s">
        <v>328</v>
      </c>
    </row>
    <row r="292" ht="15">
      <c r="A292" s="160" t="s">
        <v>329</v>
      </c>
    </row>
    <row r="293" ht="15">
      <c r="A293" s="160" t="s">
        <v>524</v>
      </c>
    </row>
    <row r="294" ht="15">
      <c r="A294" s="160" t="s">
        <v>330</v>
      </c>
    </row>
    <row r="295" ht="15">
      <c r="A295" s="160" t="s">
        <v>331</v>
      </c>
    </row>
    <row r="296" ht="15">
      <c r="A296" s="155" t="s">
        <v>332</v>
      </c>
    </row>
    <row r="297" ht="15">
      <c r="A297" s="159" t="s">
        <v>131</v>
      </c>
    </row>
    <row r="298" ht="15">
      <c r="A298" s="160" t="s">
        <v>333</v>
      </c>
    </row>
    <row r="299" ht="15">
      <c r="A299" s="160" t="s">
        <v>334</v>
      </c>
    </row>
    <row r="300" ht="15">
      <c r="A300" s="160" t="s">
        <v>335</v>
      </c>
    </row>
    <row r="301" ht="15">
      <c r="A301" s="160" t="s">
        <v>336</v>
      </c>
    </row>
    <row r="302" ht="15">
      <c r="A302" s="160" t="s">
        <v>337</v>
      </c>
    </row>
    <row r="303" ht="15">
      <c r="A303" s="160" t="s">
        <v>338</v>
      </c>
    </row>
    <row r="304" ht="15">
      <c r="A304" s="160" t="s">
        <v>339</v>
      </c>
    </row>
    <row r="305" ht="15">
      <c r="A305" s="155" t="s">
        <v>340</v>
      </c>
    </row>
    <row r="306" ht="15">
      <c r="A306" s="159" t="s">
        <v>131</v>
      </c>
    </row>
    <row r="307" ht="15">
      <c r="A307" s="160" t="s">
        <v>341</v>
      </c>
    </row>
    <row r="308" ht="15">
      <c r="A308" s="160" t="s">
        <v>342</v>
      </c>
    </row>
    <row r="309" ht="15">
      <c r="A309" s="160" t="s">
        <v>343</v>
      </c>
    </row>
    <row r="310" ht="15">
      <c r="A310" s="160" t="s">
        <v>344</v>
      </c>
    </row>
    <row r="311" ht="15">
      <c r="A311" s="160" t="s">
        <v>345</v>
      </c>
    </row>
    <row r="312" ht="15">
      <c r="A312" s="160" t="s">
        <v>346</v>
      </c>
    </row>
    <row r="313" ht="15">
      <c r="A313" s="160" t="s">
        <v>266</v>
      </c>
    </row>
    <row r="314" ht="15">
      <c r="A314" s="160" t="s">
        <v>347</v>
      </c>
    </row>
    <row r="315" ht="15">
      <c r="A315" s="160" t="s">
        <v>348</v>
      </c>
    </row>
    <row r="316" ht="15">
      <c r="A316" s="160" t="s">
        <v>349</v>
      </c>
    </row>
    <row r="317" ht="15">
      <c r="A317" s="160" t="s">
        <v>350</v>
      </c>
    </row>
    <row r="318" ht="15">
      <c r="A318" s="160" t="s">
        <v>351</v>
      </c>
    </row>
    <row r="319" ht="15">
      <c r="A319" s="160" t="s">
        <v>352</v>
      </c>
    </row>
    <row r="320" ht="15">
      <c r="A320" s="160" t="s">
        <v>353</v>
      </c>
    </row>
    <row r="321" ht="15">
      <c r="A321" s="160" t="s">
        <v>354</v>
      </c>
    </row>
    <row r="322" ht="15">
      <c r="A322" s="160" t="s">
        <v>355</v>
      </c>
    </row>
    <row r="323" ht="15">
      <c r="A323" s="160" t="s">
        <v>356</v>
      </c>
    </row>
    <row r="324" ht="15">
      <c r="A324" s="160" t="s">
        <v>357</v>
      </c>
    </row>
    <row r="325" ht="15">
      <c r="A325" s="155" t="s">
        <v>358</v>
      </c>
    </row>
    <row r="326" ht="15">
      <c r="A326" s="159" t="s">
        <v>131</v>
      </c>
    </row>
    <row r="327" ht="15">
      <c r="A327" s="160" t="s">
        <v>101</v>
      </c>
    </row>
    <row r="328" ht="15">
      <c r="A328" s="160" t="s">
        <v>295</v>
      </c>
    </row>
    <row r="329" ht="15">
      <c r="A329" s="160" t="s">
        <v>359</v>
      </c>
    </row>
    <row r="330" ht="15">
      <c r="A330" s="160" t="s">
        <v>360</v>
      </c>
    </row>
    <row r="331" ht="15">
      <c r="A331" s="160" t="s">
        <v>361</v>
      </c>
    </row>
    <row r="332" ht="15">
      <c r="A332" s="160" t="s">
        <v>362</v>
      </c>
    </row>
    <row r="333" ht="15">
      <c r="A333" s="160" t="s">
        <v>363</v>
      </c>
    </row>
    <row r="334" ht="15">
      <c r="A334" s="155" t="s">
        <v>364</v>
      </c>
    </row>
    <row r="335" ht="15">
      <c r="A335" s="159" t="s">
        <v>131</v>
      </c>
    </row>
    <row r="336" ht="15">
      <c r="A336" s="160" t="s">
        <v>295</v>
      </c>
    </row>
    <row r="337" ht="15">
      <c r="A337" s="160" t="s">
        <v>365</v>
      </c>
    </row>
    <row r="338" ht="15">
      <c r="A338" s="160" t="s">
        <v>366</v>
      </c>
    </row>
    <row r="339" ht="15">
      <c r="A339" s="160" t="s">
        <v>533</v>
      </c>
    </row>
    <row r="340" ht="15">
      <c r="A340" s="160" t="s">
        <v>367</v>
      </c>
    </row>
    <row r="341" ht="15">
      <c r="A341" s="160" t="s">
        <v>368</v>
      </c>
    </row>
    <row r="342" ht="15">
      <c r="A342" s="160" t="s">
        <v>369</v>
      </c>
    </row>
    <row r="343" ht="15">
      <c r="A343" s="160" t="s">
        <v>370</v>
      </c>
    </row>
    <row r="344" ht="15">
      <c r="A344" s="160" t="s">
        <v>371</v>
      </c>
    </row>
    <row r="345" ht="15">
      <c r="A345" s="160" t="s">
        <v>372</v>
      </c>
    </row>
    <row r="346" ht="15">
      <c r="A346" s="160" t="s">
        <v>373</v>
      </c>
    </row>
    <row r="347" ht="15">
      <c r="A347" s="160" t="s">
        <v>374</v>
      </c>
    </row>
    <row r="348" ht="15">
      <c r="A348" s="155" t="s">
        <v>375</v>
      </c>
    </row>
    <row r="349" ht="15">
      <c r="A349" s="159" t="s">
        <v>131</v>
      </c>
    </row>
    <row r="350" ht="15">
      <c r="A350" s="160" t="s">
        <v>376</v>
      </c>
    </row>
    <row r="351" ht="15">
      <c r="A351" s="160" t="s">
        <v>377</v>
      </c>
    </row>
    <row r="352" ht="15">
      <c r="A352" s="160" t="s">
        <v>378</v>
      </c>
    </row>
    <row r="353" ht="15">
      <c r="A353" s="160" t="s">
        <v>379</v>
      </c>
    </row>
    <row r="354" ht="15">
      <c r="A354" s="160" t="s">
        <v>380</v>
      </c>
    </row>
    <row r="355" ht="15">
      <c r="A355" s="160" t="s">
        <v>381</v>
      </c>
    </row>
    <row r="356" ht="15">
      <c r="A356" s="160" t="s">
        <v>382</v>
      </c>
    </row>
    <row r="357" ht="15">
      <c r="A357" s="160" t="s">
        <v>383</v>
      </c>
    </row>
    <row r="358" ht="15">
      <c r="A358" s="160" t="s">
        <v>384</v>
      </c>
    </row>
    <row r="359" ht="15">
      <c r="A359" s="160" t="s">
        <v>385</v>
      </c>
    </row>
    <row r="360" ht="15">
      <c r="A360" s="160" t="s">
        <v>386</v>
      </c>
    </row>
    <row r="361" ht="15">
      <c r="A361" s="155" t="s">
        <v>387</v>
      </c>
    </row>
    <row r="362" ht="15">
      <c r="A362" s="159" t="s">
        <v>131</v>
      </c>
    </row>
    <row r="363" ht="15">
      <c r="A363" s="161" t="s">
        <v>388</v>
      </c>
    </row>
    <row r="364" ht="15">
      <c r="A364" s="161" t="s">
        <v>186</v>
      </c>
    </row>
    <row r="365" ht="15">
      <c r="A365" s="161" t="s">
        <v>389</v>
      </c>
    </row>
    <row r="366" ht="15">
      <c r="A366" s="161" t="s">
        <v>390</v>
      </c>
    </row>
    <row r="367" ht="15">
      <c r="A367" s="161" t="s">
        <v>391</v>
      </c>
    </row>
    <row r="368" ht="15">
      <c r="A368" s="161" t="s">
        <v>392</v>
      </c>
    </row>
    <row r="369" ht="15">
      <c r="A369" s="161" t="s">
        <v>393</v>
      </c>
    </row>
    <row r="370" ht="15">
      <c r="A370" s="161" t="s">
        <v>394</v>
      </c>
    </row>
    <row r="371" ht="15">
      <c r="A371" s="161" t="s">
        <v>395</v>
      </c>
    </row>
    <row r="372" ht="15">
      <c r="A372" s="155" t="s">
        <v>396</v>
      </c>
    </row>
    <row r="373" ht="15">
      <c r="A373" s="159" t="s">
        <v>131</v>
      </c>
    </row>
    <row r="374" ht="15">
      <c r="A374" s="160" t="s">
        <v>397</v>
      </c>
    </row>
    <row r="375" ht="15">
      <c r="A375" s="160" t="s">
        <v>398</v>
      </c>
    </row>
    <row r="376" ht="15">
      <c r="A376" s="160" t="s">
        <v>518</v>
      </c>
    </row>
    <row r="377" ht="15">
      <c r="A377" s="160" t="s">
        <v>399</v>
      </c>
    </row>
    <row r="378" ht="15">
      <c r="A378" s="160" t="s">
        <v>266</v>
      </c>
    </row>
    <row r="379" ht="15">
      <c r="A379" s="160" t="s">
        <v>400</v>
      </c>
    </row>
    <row r="380" ht="15">
      <c r="A380" s="160" t="s">
        <v>401</v>
      </c>
    </row>
    <row r="381" ht="15">
      <c r="A381" s="160" t="s">
        <v>523</v>
      </c>
    </row>
    <row r="382" ht="15">
      <c r="A382" s="160" t="s">
        <v>402</v>
      </c>
    </row>
    <row r="383" ht="15">
      <c r="A383" s="160" t="s">
        <v>403</v>
      </c>
    </row>
    <row r="384" ht="15">
      <c r="A384" s="155" t="s">
        <v>404</v>
      </c>
    </row>
    <row r="385" ht="15">
      <c r="A385" s="159" t="s">
        <v>131</v>
      </c>
    </row>
    <row r="386" ht="15">
      <c r="A386" s="160" t="s">
        <v>405</v>
      </c>
    </row>
    <row r="387" ht="15">
      <c r="A387" s="160" t="s">
        <v>406</v>
      </c>
    </row>
    <row r="388" ht="15">
      <c r="A388" s="160" t="s">
        <v>334</v>
      </c>
    </row>
    <row r="389" ht="15">
      <c r="A389" s="160" t="s">
        <v>257</v>
      </c>
    </row>
    <row r="390" ht="15">
      <c r="A390" s="160" t="s">
        <v>407</v>
      </c>
    </row>
    <row r="391" ht="15">
      <c r="A391" s="160" t="s">
        <v>408</v>
      </c>
    </row>
    <row r="392" ht="15">
      <c r="A392" s="160" t="s">
        <v>258</v>
      </c>
    </row>
    <row r="393" ht="15">
      <c r="A393" s="160" t="s">
        <v>409</v>
      </c>
    </row>
    <row r="394" ht="15">
      <c r="A394" s="160" t="s">
        <v>513</v>
      </c>
    </row>
    <row r="395" ht="15">
      <c r="A395" s="160" t="s">
        <v>410</v>
      </c>
    </row>
    <row r="396" ht="15">
      <c r="A396" s="155" t="s">
        <v>411</v>
      </c>
    </row>
    <row r="397" ht="15">
      <c r="A397" s="159" t="s">
        <v>131</v>
      </c>
    </row>
    <row r="398" ht="15">
      <c r="A398" s="160" t="s">
        <v>412</v>
      </c>
    </row>
    <row r="399" ht="15">
      <c r="A399" s="160" t="s">
        <v>519</v>
      </c>
    </row>
    <row r="400" ht="15">
      <c r="A400" s="160" t="s">
        <v>520</v>
      </c>
    </row>
    <row r="401" ht="15">
      <c r="A401" s="160" t="s">
        <v>413</v>
      </c>
    </row>
    <row r="402" ht="15">
      <c r="A402" s="160" t="s">
        <v>226</v>
      </c>
    </row>
    <row r="403" ht="15">
      <c r="A403" s="160" t="s">
        <v>414</v>
      </c>
    </row>
    <row r="404" ht="15">
      <c r="A404" s="155" t="s">
        <v>415</v>
      </c>
    </row>
    <row r="405" ht="15">
      <c r="A405" s="159" t="s">
        <v>131</v>
      </c>
    </row>
    <row r="406" ht="15">
      <c r="A406" s="160" t="s">
        <v>397</v>
      </c>
    </row>
    <row r="407" ht="15">
      <c r="A407" s="160" t="s">
        <v>416</v>
      </c>
    </row>
    <row r="408" ht="15">
      <c r="A408" s="160" t="s">
        <v>417</v>
      </c>
    </row>
    <row r="409" ht="15">
      <c r="A409" s="160" t="s">
        <v>418</v>
      </c>
    </row>
    <row r="410" ht="15">
      <c r="A410" s="160" t="s">
        <v>419</v>
      </c>
    </row>
    <row r="411" ht="15">
      <c r="A411" s="160" t="s">
        <v>217</v>
      </c>
    </row>
    <row r="412" ht="15">
      <c r="A412" s="160" t="s">
        <v>420</v>
      </c>
    </row>
    <row r="413" ht="15">
      <c r="A413" s="160" t="s">
        <v>421</v>
      </c>
    </row>
    <row r="414" ht="15">
      <c r="A414" s="160" t="s">
        <v>522</v>
      </c>
    </row>
    <row r="415" ht="15">
      <c r="A415" s="160" t="s">
        <v>422</v>
      </c>
    </row>
    <row r="416" ht="15">
      <c r="A416" s="160" t="s">
        <v>423</v>
      </c>
    </row>
    <row r="417" ht="15">
      <c r="A417" s="162" t="s">
        <v>424</v>
      </c>
    </row>
    <row r="418" ht="15">
      <c r="A418" s="159" t="s">
        <v>131</v>
      </c>
    </row>
    <row r="419" ht="15">
      <c r="A419" s="160" t="s">
        <v>425</v>
      </c>
    </row>
    <row r="420" ht="15">
      <c r="A420" s="160" t="s">
        <v>426</v>
      </c>
    </row>
    <row r="421" ht="15">
      <c r="A421" s="160" t="s">
        <v>427</v>
      </c>
    </row>
    <row r="422" ht="15">
      <c r="A422" s="160" t="s">
        <v>428</v>
      </c>
    </row>
    <row r="423" ht="15">
      <c r="A423" s="160" t="s">
        <v>429</v>
      </c>
    </row>
    <row r="424" ht="15">
      <c r="A424" s="160" t="s">
        <v>430</v>
      </c>
    </row>
    <row r="425" ht="15">
      <c r="A425" s="160" t="s">
        <v>431</v>
      </c>
    </row>
    <row r="426" ht="15">
      <c r="A426" s="160" t="s">
        <v>534</v>
      </c>
    </row>
    <row r="427" ht="15">
      <c r="A427" s="160" t="s">
        <v>432</v>
      </c>
    </row>
    <row r="428" ht="15">
      <c r="A428" s="160" t="s">
        <v>433</v>
      </c>
    </row>
    <row r="429" ht="15">
      <c r="A429" s="155" t="s">
        <v>434</v>
      </c>
    </row>
    <row r="430" ht="15">
      <c r="A430" s="159" t="s">
        <v>131</v>
      </c>
    </row>
    <row r="431" ht="15">
      <c r="A431" s="160" t="s">
        <v>435</v>
      </c>
    </row>
    <row r="432" ht="15">
      <c r="A432" s="160" t="s">
        <v>436</v>
      </c>
    </row>
    <row r="433" ht="15">
      <c r="A433" s="160" t="s">
        <v>437</v>
      </c>
    </row>
    <row r="434" ht="15">
      <c r="A434" s="155" t="s">
        <v>438</v>
      </c>
    </row>
    <row r="435" ht="15">
      <c r="A435" s="159" t="s">
        <v>131</v>
      </c>
    </row>
    <row r="436" ht="15">
      <c r="A436" s="163" t="s">
        <v>439</v>
      </c>
    </row>
    <row r="437" ht="15">
      <c r="A437" s="163" t="s">
        <v>440</v>
      </c>
    </row>
    <row r="438" ht="15">
      <c r="A438" s="163" t="s">
        <v>441</v>
      </c>
    </row>
    <row r="439" ht="15">
      <c r="A439" s="163" t="s">
        <v>442</v>
      </c>
    </row>
    <row r="440" ht="15">
      <c r="A440" s="163" t="s">
        <v>443</v>
      </c>
    </row>
    <row r="441" ht="15">
      <c r="A441" s="163" t="s">
        <v>444</v>
      </c>
    </row>
    <row r="442" ht="15">
      <c r="A442" s="163" t="s">
        <v>445</v>
      </c>
    </row>
    <row r="443" ht="15">
      <c r="A443" s="163" t="s">
        <v>514</v>
      </c>
    </row>
    <row r="444" ht="15">
      <c r="A444" s="163" t="s">
        <v>446</v>
      </c>
    </row>
    <row r="445" ht="15">
      <c r="A445" s="163" t="s">
        <v>447</v>
      </c>
    </row>
    <row r="446" ht="15">
      <c r="A446" s="155" t="s">
        <v>448</v>
      </c>
    </row>
    <row r="447" ht="15">
      <c r="A447" s="159" t="s">
        <v>131</v>
      </c>
    </row>
    <row r="448" ht="15">
      <c r="A448" s="160" t="s">
        <v>449</v>
      </c>
    </row>
    <row r="449" ht="15">
      <c r="A449" s="160" t="s">
        <v>450</v>
      </c>
    </row>
    <row r="450" ht="15">
      <c r="A450" s="160" t="s">
        <v>451</v>
      </c>
    </row>
    <row r="451" ht="15">
      <c r="A451" s="160" t="s">
        <v>535</v>
      </c>
    </row>
    <row r="452" ht="15">
      <c r="A452" s="160" t="s">
        <v>452</v>
      </c>
    </row>
    <row r="453" ht="15">
      <c r="A453" s="160" t="s">
        <v>453</v>
      </c>
    </row>
    <row r="454" ht="15">
      <c r="A454" s="160" t="s">
        <v>454</v>
      </c>
    </row>
    <row r="455" ht="15">
      <c r="A455" s="160" t="s">
        <v>455</v>
      </c>
    </row>
    <row r="456" ht="15">
      <c r="A456" s="160" t="s">
        <v>456</v>
      </c>
    </row>
    <row r="457" ht="15">
      <c r="A457" s="160" t="s">
        <v>457</v>
      </c>
    </row>
    <row r="458" ht="15">
      <c r="A458" s="160" t="s">
        <v>458</v>
      </c>
    </row>
    <row r="459" ht="15">
      <c r="A459" s="155" t="s">
        <v>459</v>
      </c>
    </row>
    <row r="460" ht="15">
      <c r="A460" s="159" t="s">
        <v>131</v>
      </c>
    </row>
    <row r="461" ht="15">
      <c r="A461" s="160" t="s">
        <v>460</v>
      </c>
    </row>
    <row r="462" ht="15">
      <c r="A462" s="160" t="s">
        <v>461</v>
      </c>
    </row>
    <row r="463" ht="15">
      <c r="A463" s="160" t="s">
        <v>336</v>
      </c>
    </row>
    <row r="464" ht="15">
      <c r="A464" s="160" t="s">
        <v>462</v>
      </c>
    </row>
    <row r="465" ht="15">
      <c r="A465" s="160" t="s">
        <v>463</v>
      </c>
    </row>
    <row r="466" ht="15">
      <c r="A466" s="160" t="s">
        <v>464</v>
      </c>
    </row>
    <row r="467" ht="15">
      <c r="A467" s="160" t="s">
        <v>465</v>
      </c>
    </row>
    <row r="468" ht="15">
      <c r="A468" s="160" t="s">
        <v>536</v>
      </c>
    </row>
    <row r="469" ht="15">
      <c r="A469" s="155" t="s">
        <v>466</v>
      </c>
    </row>
    <row r="470" ht="15">
      <c r="A470" s="159" t="s">
        <v>131</v>
      </c>
    </row>
    <row r="471" ht="15">
      <c r="A471" s="160" t="s">
        <v>233</v>
      </c>
    </row>
    <row r="472" ht="15">
      <c r="A472" s="160" t="s">
        <v>467</v>
      </c>
    </row>
    <row r="473" ht="15">
      <c r="A473" s="160" t="s">
        <v>275</v>
      </c>
    </row>
    <row r="474" ht="15">
      <c r="A474" s="160" t="s">
        <v>468</v>
      </c>
    </row>
    <row r="475" ht="15">
      <c r="A475" s="160" t="s">
        <v>469</v>
      </c>
    </row>
    <row r="476" ht="15">
      <c r="A476" s="160" t="s">
        <v>470</v>
      </c>
    </row>
    <row r="477" ht="15">
      <c r="A477" s="160" t="s">
        <v>471</v>
      </c>
    </row>
    <row r="478" ht="15">
      <c r="A478" s="160" t="s">
        <v>472</v>
      </c>
    </row>
    <row r="479" ht="15">
      <c r="A479" s="160" t="s">
        <v>423</v>
      </c>
    </row>
    <row r="480" ht="15">
      <c r="A480" s="155" t="s">
        <v>473</v>
      </c>
    </row>
    <row r="481" ht="15">
      <c r="A481" s="159" t="s">
        <v>131</v>
      </c>
    </row>
    <row r="482" ht="15">
      <c r="A482" s="160" t="s">
        <v>232</v>
      </c>
    </row>
    <row r="483" ht="15">
      <c r="A483" s="160" t="s">
        <v>474</v>
      </c>
    </row>
    <row r="484" ht="15">
      <c r="A484" s="160" t="s">
        <v>475</v>
      </c>
    </row>
    <row r="485" ht="15">
      <c r="A485" s="160" t="s">
        <v>476</v>
      </c>
    </row>
    <row r="486" ht="15">
      <c r="A486" s="160" t="s">
        <v>477</v>
      </c>
    </row>
    <row r="487" ht="15">
      <c r="A487" s="160" t="s">
        <v>478</v>
      </c>
    </row>
    <row r="488" ht="15">
      <c r="A488" s="160" t="s">
        <v>537</v>
      </c>
    </row>
    <row r="489" ht="15">
      <c r="A489" s="164" t="s">
        <v>479</v>
      </c>
    </row>
    <row r="490" ht="15">
      <c r="A490" s="159" t="s">
        <v>131</v>
      </c>
    </row>
    <row r="491" ht="15">
      <c r="A491" s="160" t="s">
        <v>480</v>
      </c>
    </row>
    <row r="492" ht="15">
      <c r="A492" s="160" t="s">
        <v>214</v>
      </c>
    </row>
    <row r="493" ht="15">
      <c r="A493" s="160" t="s">
        <v>481</v>
      </c>
    </row>
    <row r="494" ht="15">
      <c r="A494" s="160" t="s">
        <v>226</v>
      </c>
    </row>
    <row r="495" ht="15">
      <c r="A495" s="160" t="s">
        <v>482</v>
      </c>
    </row>
    <row r="496" ht="15">
      <c r="A496" s="160" t="s">
        <v>483</v>
      </c>
    </row>
    <row r="497" ht="15">
      <c r="A497" s="160" t="s">
        <v>484</v>
      </c>
    </row>
    <row r="498" ht="15">
      <c r="A498" s="160" t="s">
        <v>485</v>
      </c>
    </row>
    <row r="499" ht="15">
      <c r="A499" s="160" t="s">
        <v>486</v>
      </c>
    </row>
    <row r="500" ht="15">
      <c r="A500" s="160" t="s">
        <v>487</v>
      </c>
    </row>
    <row r="501" ht="15">
      <c r="A501" s="160" t="s">
        <v>488</v>
      </c>
    </row>
    <row r="502" ht="15">
      <c r="A502" s="160" t="s">
        <v>489</v>
      </c>
    </row>
    <row r="503" ht="15">
      <c r="A503" s="160" t="s">
        <v>490</v>
      </c>
    </row>
    <row r="504" ht="15">
      <c r="A504" s="160" t="s">
        <v>491</v>
      </c>
    </row>
    <row r="505" ht="15">
      <c r="A505" s="155" t="s">
        <v>492</v>
      </c>
    </row>
    <row r="506" ht="15">
      <c r="A506" s="159" t="s">
        <v>131</v>
      </c>
    </row>
    <row r="507" ht="15">
      <c r="A507" s="160" t="s">
        <v>493</v>
      </c>
    </row>
    <row r="508" ht="15">
      <c r="A508" s="160" t="s">
        <v>494</v>
      </c>
    </row>
    <row r="509" ht="15">
      <c r="A509" s="160" t="s">
        <v>521</v>
      </c>
    </row>
    <row r="510" ht="15">
      <c r="A510" s="160" t="s">
        <v>495</v>
      </c>
    </row>
    <row r="511" ht="15">
      <c r="A511" s="160" t="s">
        <v>232</v>
      </c>
    </row>
    <row r="512" ht="15">
      <c r="A512" s="160" t="s">
        <v>496</v>
      </c>
    </row>
    <row r="513" ht="15">
      <c r="A513" s="160" t="s">
        <v>497</v>
      </c>
    </row>
    <row r="514" ht="15">
      <c r="A514" s="160" t="s">
        <v>498</v>
      </c>
    </row>
    <row r="515" ht="15">
      <c r="A515" s="160" t="s">
        <v>499</v>
      </c>
    </row>
    <row r="516" ht="15">
      <c r="A516" s="165"/>
    </row>
    <row r="517" ht="15">
      <c r="A517" s="165"/>
    </row>
    <row r="518" ht="15">
      <c r="A518" s="165"/>
    </row>
    <row r="519" ht="15">
      <c r="A519" s="165"/>
    </row>
    <row r="520" ht="15">
      <c r="A520" s="165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9"/>
  <sheetViews>
    <sheetView view="pageBreakPreview" zoomScaleNormal="75" zoomScaleSheetLayoutView="100" zoomScalePageLayoutView="0" workbookViewId="0" topLeftCell="A238">
      <selection activeCell="E239" sqref="E239"/>
    </sheetView>
  </sheetViews>
  <sheetFormatPr defaultColWidth="9.00390625" defaultRowHeight="12.75"/>
  <cols>
    <col min="1" max="1" width="27.125" style="0" customWidth="1"/>
    <col min="2" max="2" width="6.875" style="0" customWidth="1"/>
    <col min="3" max="3" width="13.625" style="0" customWidth="1"/>
    <col min="4" max="6" width="9.375" style="0" customWidth="1"/>
    <col min="7" max="7" width="9.625" style="0" customWidth="1"/>
    <col min="9" max="9" width="9.25390625" style="0" customWidth="1"/>
    <col min="10" max="10" width="11.75390625" style="0" customWidth="1"/>
    <col min="11" max="12" width="7.75390625" style="0" customWidth="1"/>
  </cols>
  <sheetData>
    <row r="2" spans="1:11" ht="18">
      <c r="A2" s="274" t="s">
        <v>515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8">
      <c r="A3" s="112"/>
      <c r="B3" s="113"/>
      <c r="C3" s="113"/>
      <c r="D3" s="113"/>
      <c r="E3" s="113"/>
      <c r="F3" s="113"/>
      <c r="G3" s="113"/>
      <c r="H3" s="113"/>
      <c r="I3" s="126" t="s">
        <v>65</v>
      </c>
      <c r="J3" s="113"/>
      <c r="K3" s="113"/>
    </row>
    <row r="4" spans="2:7" ht="28.5" customHeight="1">
      <c r="B4" s="277" t="s">
        <v>573</v>
      </c>
      <c r="C4" s="277"/>
      <c r="D4" s="277"/>
      <c r="E4" s="277"/>
      <c r="F4" s="277"/>
      <c r="G4" s="277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182" t="s">
        <v>504</v>
      </c>
      <c r="D7" s="183" t="s">
        <v>78</v>
      </c>
      <c r="E7" s="3" t="s">
        <v>505</v>
      </c>
      <c r="F7" s="102" t="s">
        <v>78</v>
      </c>
      <c r="G7" s="3" t="s">
        <v>506</v>
      </c>
      <c r="H7" s="3" t="s">
        <v>507</v>
      </c>
      <c r="I7" s="3" t="s">
        <v>516</v>
      </c>
      <c r="J7" s="3" t="s">
        <v>539</v>
      </c>
    </row>
    <row r="8" spans="1:10" ht="13.5" thickBot="1">
      <c r="A8" s="4"/>
      <c r="B8" s="4" t="s">
        <v>13</v>
      </c>
      <c r="C8" s="184" t="s">
        <v>17</v>
      </c>
      <c r="D8" s="184" t="s">
        <v>505</v>
      </c>
      <c r="E8" s="104" t="s">
        <v>17</v>
      </c>
      <c r="F8" s="104" t="s">
        <v>506</v>
      </c>
      <c r="G8" s="106"/>
      <c r="H8" s="107"/>
      <c r="I8" s="6"/>
      <c r="J8" s="6"/>
    </row>
    <row r="9" spans="1:10" ht="12.75">
      <c r="A9" s="103"/>
      <c r="B9" s="103"/>
      <c r="C9" s="185"/>
      <c r="D9" s="185"/>
      <c r="E9" s="103"/>
      <c r="F9" s="103"/>
      <c r="G9" s="103"/>
      <c r="H9" s="103"/>
      <c r="I9" s="103"/>
      <c r="J9" s="103"/>
    </row>
    <row r="10" spans="1:10" ht="12.75">
      <c r="A10" s="79" t="s">
        <v>4</v>
      </c>
      <c r="B10" s="80" t="s">
        <v>29</v>
      </c>
      <c r="C10" s="186">
        <f aca="true" t="shared" si="0" ref="C10:H10">C11+C13+C14+C15+C16+C17+C18+C22+C23+C25+C26+C27+C28+C29+C30</f>
        <v>22961</v>
      </c>
      <c r="D10" s="186">
        <f t="shared" si="0"/>
        <v>22898</v>
      </c>
      <c r="E10" s="186">
        <f t="shared" si="0"/>
        <v>22529</v>
      </c>
      <c r="F10" s="186">
        <f t="shared" si="0"/>
        <v>22528</v>
      </c>
      <c r="G10" s="186">
        <f t="shared" si="0"/>
        <v>22472</v>
      </c>
      <c r="H10" s="186">
        <f t="shared" si="0"/>
        <v>22445</v>
      </c>
      <c r="I10" s="186">
        <f>I11+I13+I14+I15+I16+I17+I18+I22+I23+I25+I26+I27+I28+I29+I30</f>
        <v>22439</v>
      </c>
      <c r="J10" s="186">
        <f>J11+J13+J14+J15+J16+J17+J18+J22+J23+J25+J26+J27+J28+J29+J30</f>
        <v>22435</v>
      </c>
    </row>
    <row r="11" spans="1:10" ht="24">
      <c r="A11" s="81" t="s">
        <v>35</v>
      </c>
      <c r="B11" s="80" t="s">
        <v>29</v>
      </c>
      <c r="C11" s="176">
        <f>2206+63</f>
        <v>2269</v>
      </c>
      <c r="D11" s="176">
        <f>2206</f>
        <v>2206</v>
      </c>
      <c r="E11" s="176">
        <f>1978</f>
        <v>1978</v>
      </c>
      <c r="F11" s="176">
        <f>2426-461-7+19</f>
        <v>1977</v>
      </c>
      <c r="G11" s="176">
        <v>1959</v>
      </c>
      <c r="H11" s="176">
        <v>1952</v>
      </c>
      <c r="I11" s="176">
        <v>1951</v>
      </c>
      <c r="J11" s="176">
        <v>1949</v>
      </c>
    </row>
    <row r="12" spans="1:10" ht="39.75" customHeight="1">
      <c r="A12" s="81" t="s">
        <v>36</v>
      </c>
      <c r="B12" s="76" t="s">
        <v>29</v>
      </c>
      <c r="C12" s="176">
        <f>2017+63</f>
        <v>2080</v>
      </c>
      <c r="D12" s="176">
        <f>2017</f>
        <v>2017</v>
      </c>
      <c r="E12" s="176">
        <f>1782</f>
        <v>1782</v>
      </c>
      <c r="F12" s="176">
        <f>2137-355</f>
        <v>1782</v>
      </c>
      <c r="G12" s="176">
        <v>1706</v>
      </c>
      <c r="H12" s="176">
        <v>1700</v>
      </c>
      <c r="I12" s="176">
        <v>1699</v>
      </c>
      <c r="J12" s="176">
        <v>1699</v>
      </c>
    </row>
    <row r="13" spans="1:11" ht="12.75">
      <c r="A13" s="81" t="s">
        <v>37</v>
      </c>
      <c r="B13" s="76" t="s">
        <v>29</v>
      </c>
      <c r="C13" s="176"/>
      <c r="D13" s="176"/>
      <c r="E13" s="176"/>
      <c r="F13" s="176"/>
      <c r="G13" s="176"/>
      <c r="H13" s="176"/>
      <c r="I13" s="176"/>
      <c r="J13" s="176"/>
      <c r="K13" s="5"/>
    </row>
    <row r="14" spans="1:11" ht="24">
      <c r="A14" s="81" t="s">
        <v>38</v>
      </c>
      <c r="B14" s="76" t="s">
        <v>29</v>
      </c>
      <c r="C14" s="176"/>
      <c r="D14" s="176"/>
      <c r="E14" s="176"/>
      <c r="F14" s="176"/>
      <c r="G14" s="176"/>
      <c r="H14" s="176"/>
      <c r="I14" s="176"/>
      <c r="J14" s="176"/>
      <c r="K14" s="5"/>
    </row>
    <row r="15" spans="1:11" ht="24">
      <c r="A15" s="81" t="s">
        <v>39</v>
      </c>
      <c r="B15" s="76" t="s">
        <v>29</v>
      </c>
      <c r="C15" s="176">
        <f>2796-142</f>
        <v>2654</v>
      </c>
      <c r="D15" s="176">
        <f>2654</f>
        <v>2654</v>
      </c>
      <c r="E15" s="176">
        <f>2576</f>
        <v>2576</v>
      </c>
      <c r="F15" s="176">
        <f>2706-130</f>
        <v>2576</v>
      </c>
      <c r="G15" s="176">
        <v>2564</v>
      </c>
      <c r="H15" s="176">
        <v>2560</v>
      </c>
      <c r="I15" s="176">
        <v>2558</v>
      </c>
      <c r="J15" s="176">
        <v>2557</v>
      </c>
      <c r="K15" s="5"/>
    </row>
    <row r="16" spans="1:11" ht="36">
      <c r="A16" s="81" t="s">
        <v>40</v>
      </c>
      <c r="B16" s="76" t="s">
        <v>29</v>
      </c>
      <c r="C16" s="176">
        <f>1499-6</f>
        <v>1493</v>
      </c>
      <c r="D16" s="176">
        <f>1493</f>
        <v>1493</v>
      </c>
      <c r="E16" s="176">
        <f>1453</f>
        <v>1453</v>
      </c>
      <c r="F16" s="176">
        <f>1459-6</f>
        <v>1453</v>
      </c>
      <c r="G16" s="176">
        <v>1449</v>
      </c>
      <c r="H16" s="176">
        <v>1447</v>
      </c>
      <c r="I16" s="176">
        <v>1446</v>
      </c>
      <c r="J16" s="176">
        <v>1445</v>
      </c>
      <c r="K16" s="5"/>
    </row>
    <row r="17" spans="1:11" ht="12.75">
      <c r="A17" s="81" t="s">
        <v>41</v>
      </c>
      <c r="B17" s="76" t="s">
        <v>29</v>
      </c>
      <c r="C17" s="176">
        <f>781-72</f>
        <v>709</v>
      </c>
      <c r="D17" s="176">
        <f>781-72</f>
        <v>709</v>
      </c>
      <c r="E17" s="176">
        <f>709</f>
        <v>709</v>
      </c>
      <c r="F17" s="176">
        <f>781-72</f>
        <v>709</v>
      </c>
      <c r="G17" s="176">
        <v>707</v>
      </c>
      <c r="H17" s="176">
        <v>707</v>
      </c>
      <c r="I17" s="176">
        <v>707</v>
      </c>
      <c r="J17" s="176">
        <v>707</v>
      </c>
      <c r="K17" s="5"/>
    </row>
    <row r="18" spans="1:10" ht="72">
      <c r="A18" s="81" t="s">
        <v>42</v>
      </c>
      <c r="B18" s="76" t="s">
        <v>29</v>
      </c>
      <c r="C18" s="176">
        <f>1620-49</f>
        <v>1571</v>
      </c>
      <c r="D18" s="176">
        <f>1620-49</f>
        <v>1571</v>
      </c>
      <c r="E18" s="176">
        <f>1551</f>
        <v>1551</v>
      </c>
      <c r="F18" s="176">
        <f>1620-49-20</f>
        <v>1551</v>
      </c>
      <c r="G18" s="176">
        <f>G20+G21</f>
        <v>1549</v>
      </c>
      <c r="H18" s="176">
        <f>H20+H21</f>
        <v>1539</v>
      </c>
      <c r="I18" s="176">
        <f>I20+I21</f>
        <v>1537</v>
      </c>
      <c r="J18" s="176">
        <f>J20+J21</f>
        <v>1537</v>
      </c>
    </row>
    <row r="19" spans="1:10" ht="12.75">
      <c r="A19" s="81" t="s">
        <v>43</v>
      </c>
      <c r="B19" s="78"/>
      <c r="C19" s="176"/>
      <c r="D19" s="176"/>
      <c r="E19" s="176"/>
      <c r="F19" s="176"/>
      <c r="G19" s="176"/>
      <c r="H19" s="176"/>
      <c r="I19" s="176"/>
      <c r="J19" s="176"/>
    </row>
    <row r="20" spans="1:10" ht="48">
      <c r="A20" s="81" t="s">
        <v>44</v>
      </c>
      <c r="B20" s="76" t="s">
        <v>29</v>
      </c>
      <c r="C20" s="176">
        <v>544</v>
      </c>
      <c r="D20" s="176">
        <v>544</v>
      </c>
      <c r="E20" s="176">
        <v>524</v>
      </c>
      <c r="F20" s="176">
        <v>524</v>
      </c>
      <c r="G20" s="176">
        <v>534</v>
      </c>
      <c r="H20" s="176">
        <v>527</v>
      </c>
      <c r="I20" s="176">
        <v>527</v>
      </c>
      <c r="J20" s="176">
        <v>527</v>
      </c>
    </row>
    <row r="21" spans="1:10" ht="57.75" customHeight="1">
      <c r="A21" s="81" t="s">
        <v>45</v>
      </c>
      <c r="B21" s="76"/>
      <c r="C21" s="177">
        <f>1072-45</f>
        <v>1027</v>
      </c>
      <c r="D21" s="177">
        <f>1072-45</f>
        <v>1027</v>
      </c>
      <c r="E21" s="177">
        <f>1027</f>
        <v>1027</v>
      </c>
      <c r="F21" s="177">
        <f>1072-45</f>
        <v>1027</v>
      </c>
      <c r="G21" s="177">
        <v>1015</v>
      </c>
      <c r="H21" s="177">
        <v>1012</v>
      </c>
      <c r="I21" s="177">
        <v>1010</v>
      </c>
      <c r="J21" s="177">
        <v>1010</v>
      </c>
    </row>
    <row r="22" spans="1:10" ht="12.75">
      <c r="A22" s="81" t="s">
        <v>46</v>
      </c>
      <c r="B22" s="76" t="s">
        <v>29</v>
      </c>
      <c r="C22" s="177">
        <f>145-20</f>
        <v>125</v>
      </c>
      <c r="D22" s="177">
        <f>145-20</f>
        <v>125</v>
      </c>
      <c r="E22" s="177">
        <f>125</f>
        <v>125</v>
      </c>
      <c r="F22" s="177">
        <f>145-20</f>
        <v>125</v>
      </c>
      <c r="G22" s="177">
        <v>123</v>
      </c>
      <c r="H22" s="177">
        <v>120</v>
      </c>
      <c r="I22" s="177">
        <v>120</v>
      </c>
      <c r="J22" s="177">
        <v>120</v>
      </c>
    </row>
    <row r="23" spans="1:10" ht="12.75">
      <c r="A23" s="81" t="s">
        <v>47</v>
      </c>
      <c r="B23" s="76" t="s">
        <v>29</v>
      </c>
      <c r="C23" s="177">
        <f>4532-35</f>
        <v>4497</v>
      </c>
      <c r="D23" s="177">
        <f>4532-35</f>
        <v>4497</v>
      </c>
      <c r="E23" s="177">
        <f>4494</f>
        <v>4494</v>
      </c>
      <c r="F23" s="177">
        <f>4532-35-3</f>
        <v>4494</v>
      </c>
      <c r="G23" s="177">
        <f>4483</f>
        <v>4483</v>
      </c>
      <c r="H23" s="177">
        <f>4483</f>
        <v>4483</v>
      </c>
      <c r="I23" s="177">
        <f>4483</f>
        <v>4483</v>
      </c>
      <c r="J23" s="177">
        <f>4483</f>
        <v>4483</v>
      </c>
    </row>
    <row r="24" spans="1:10" ht="12.75">
      <c r="A24" s="81" t="s">
        <v>48</v>
      </c>
      <c r="B24" s="76"/>
      <c r="C24" s="177">
        <v>432</v>
      </c>
      <c r="D24" s="177">
        <v>432</v>
      </c>
      <c r="E24" s="177">
        <v>432</v>
      </c>
      <c r="F24" s="177">
        <v>432</v>
      </c>
      <c r="G24" s="177">
        <v>432</v>
      </c>
      <c r="H24" s="177">
        <v>432</v>
      </c>
      <c r="I24" s="177">
        <v>432</v>
      </c>
      <c r="J24" s="177">
        <v>432</v>
      </c>
    </row>
    <row r="25" spans="1:10" ht="12.75">
      <c r="A25" s="81" t="s">
        <v>49</v>
      </c>
      <c r="B25" s="76" t="s">
        <v>29</v>
      </c>
      <c r="C25" s="177">
        <f>247-61</f>
        <v>186</v>
      </c>
      <c r="D25" s="177">
        <f>247-61</f>
        <v>186</v>
      </c>
      <c r="E25" s="177">
        <f>247-61</f>
        <v>186</v>
      </c>
      <c r="F25" s="177">
        <f>247-61</f>
        <v>186</v>
      </c>
      <c r="G25" s="177">
        <v>181</v>
      </c>
      <c r="H25" s="177">
        <v>180</v>
      </c>
      <c r="I25" s="177">
        <v>180</v>
      </c>
      <c r="J25" s="177">
        <v>180</v>
      </c>
    </row>
    <row r="26" spans="1:10" ht="24">
      <c r="A26" s="81" t="s">
        <v>50</v>
      </c>
      <c r="B26" s="76" t="s">
        <v>29</v>
      </c>
      <c r="C26" s="177">
        <v>985</v>
      </c>
      <c r="D26" s="177">
        <v>985</v>
      </c>
      <c r="E26" s="177">
        <v>985</v>
      </c>
      <c r="F26" s="177">
        <v>985</v>
      </c>
      <c r="G26" s="177">
        <v>985</v>
      </c>
      <c r="H26" s="177">
        <v>985</v>
      </c>
      <c r="I26" s="177">
        <v>985</v>
      </c>
      <c r="J26" s="177">
        <v>985</v>
      </c>
    </row>
    <row r="27" spans="1:10" ht="60">
      <c r="A27" s="81" t="s">
        <v>51</v>
      </c>
      <c r="B27" s="76" t="s">
        <v>29</v>
      </c>
      <c r="C27" s="177">
        <f aca="true" t="shared" si="1" ref="C27:J27">1590-190</f>
        <v>1400</v>
      </c>
      <c r="D27" s="177">
        <f t="shared" si="1"/>
        <v>1400</v>
      </c>
      <c r="E27" s="177">
        <f t="shared" si="1"/>
        <v>1400</v>
      </c>
      <c r="F27" s="177">
        <f t="shared" si="1"/>
        <v>1400</v>
      </c>
      <c r="G27" s="177">
        <f t="shared" si="1"/>
        <v>1400</v>
      </c>
      <c r="H27" s="177">
        <f t="shared" si="1"/>
        <v>1400</v>
      </c>
      <c r="I27" s="177">
        <f t="shared" si="1"/>
        <v>1400</v>
      </c>
      <c r="J27" s="177">
        <f t="shared" si="1"/>
        <v>1400</v>
      </c>
    </row>
    <row r="28" spans="1:10" ht="12.75">
      <c r="A28" s="81" t="s">
        <v>52</v>
      </c>
      <c r="B28" s="76" t="s">
        <v>29</v>
      </c>
      <c r="C28" s="177">
        <v>3363</v>
      </c>
      <c r="D28" s="177">
        <v>3363</v>
      </c>
      <c r="E28" s="177">
        <v>3363</v>
      </c>
      <c r="F28" s="177">
        <v>3363</v>
      </c>
      <c r="G28" s="177">
        <v>3363</v>
      </c>
      <c r="H28" s="177">
        <v>3363</v>
      </c>
      <c r="I28" s="177">
        <v>3363</v>
      </c>
      <c r="J28" s="177">
        <v>3363</v>
      </c>
    </row>
    <row r="29" spans="1:10" ht="36">
      <c r="A29" s="81" t="s">
        <v>53</v>
      </c>
      <c r="B29" s="76" t="s">
        <v>29</v>
      </c>
      <c r="C29" s="177">
        <v>3006</v>
      </c>
      <c r="D29" s="177">
        <v>3006</v>
      </c>
      <c r="E29" s="177">
        <v>3006</v>
      </c>
      <c r="F29" s="177">
        <v>3006</v>
      </c>
      <c r="G29" s="177">
        <v>3006</v>
      </c>
      <c r="H29" s="177">
        <v>3006</v>
      </c>
      <c r="I29" s="177">
        <v>3006</v>
      </c>
      <c r="J29" s="177">
        <v>3006</v>
      </c>
    </row>
    <row r="30" spans="1:10" ht="36">
      <c r="A30" s="81" t="s">
        <v>54</v>
      </c>
      <c r="B30" s="76" t="s">
        <v>29</v>
      </c>
      <c r="C30" s="177">
        <v>703</v>
      </c>
      <c r="D30" s="177">
        <v>703</v>
      </c>
      <c r="E30" s="177">
        <v>703</v>
      </c>
      <c r="F30" s="177">
        <v>703</v>
      </c>
      <c r="G30" s="177">
        <v>703</v>
      </c>
      <c r="H30" s="177">
        <v>703</v>
      </c>
      <c r="I30" s="177">
        <v>703</v>
      </c>
      <c r="J30" s="177">
        <v>703</v>
      </c>
    </row>
    <row r="31" spans="1:10" ht="12.75">
      <c r="A31" s="83"/>
      <c r="B31" s="76"/>
      <c r="C31" s="177"/>
      <c r="D31" s="177"/>
      <c r="E31" s="177"/>
      <c r="F31" s="177"/>
      <c r="G31" s="177"/>
      <c r="H31" s="177"/>
      <c r="I31" s="177"/>
      <c r="J31" s="177"/>
    </row>
    <row r="32" spans="1:10" ht="51">
      <c r="A32" s="94" t="s">
        <v>59</v>
      </c>
      <c r="B32" s="173" t="s">
        <v>57</v>
      </c>
      <c r="C32" s="177">
        <v>455</v>
      </c>
      <c r="D32" s="177">
        <v>455</v>
      </c>
      <c r="E32" s="177">
        <v>453</v>
      </c>
      <c r="F32" s="177">
        <v>453</v>
      </c>
      <c r="G32" s="177">
        <v>455</v>
      </c>
      <c r="H32" s="177">
        <v>455</v>
      </c>
      <c r="I32" s="177">
        <v>455</v>
      </c>
      <c r="J32" s="177">
        <v>455</v>
      </c>
    </row>
    <row r="33" spans="1:10" ht="12.75">
      <c r="A33" s="83"/>
      <c r="B33" s="174"/>
      <c r="C33" s="177"/>
      <c r="D33" s="187"/>
      <c r="E33" s="176"/>
      <c r="F33" s="176"/>
      <c r="G33" s="176"/>
      <c r="H33" s="176"/>
      <c r="I33" s="176"/>
      <c r="J33" s="176"/>
    </row>
    <row r="34" spans="1:10" ht="38.25">
      <c r="A34" s="94" t="s">
        <v>55</v>
      </c>
      <c r="B34" s="173" t="s">
        <v>57</v>
      </c>
      <c r="C34" s="177">
        <v>5812</v>
      </c>
      <c r="D34" s="187">
        <v>5812</v>
      </c>
      <c r="E34" s="176">
        <v>5813</v>
      </c>
      <c r="F34" s="176">
        <v>5812</v>
      </c>
      <c r="G34" s="176">
        <v>5813</v>
      </c>
      <c r="H34" s="176">
        <v>5812</v>
      </c>
      <c r="I34" s="176">
        <v>5812</v>
      </c>
      <c r="J34" s="176">
        <v>5812</v>
      </c>
    </row>
    <row r="35" spans="1:10" ht="12.75">
      <c r="A35" s="84"/>
      <c r="B35" s="78"/>
      <c r="C35" s="176"/>
      <c r="D35" s="188"/>
      <c r="E35" s="176"/>
      <c r="F35" s="176"/>
      <c r="G35" s="176"/>
      <c r="H35" s="176"/>
      <c r="I35" s="176"/>
      <c r="J35" s="176"/>
    </row>
    <row r="36" spans="1:10" ht="12.75">
      <c r="A36" s="79" t="s">
        <v>6</v>
      </c>
      <c r="B36" s="78"/>
      <c r="C36" s="188"/>
      <c r="D36" s="188"/>
      <c r="E36" s="188"/>
      <c r="F36" s="188"/>
      <c r="G36" s="188"/>
      <c r="H36" s="188"/>
      <c r="I36" s="188"/>
      <c r="J36" s="188"/>
    </row>
    <row r="37" spans="1:10" ht="12.75">
      <c r="A37" s="79" t="s">
        <v>7</v>
      </c>
      <c r="B37" s="80" t="s">
        <v>10</v>
      </c>
      <c r="C37" s="186">
        <f>C84/C10/12*1000+0.05</f>
        <v>19661.00008235704</v>
      </c>
      <c r="D37" s="186">
        <f>D84/D10/3*1000-0.24</f>
        <v>18887.595873758986</v>
      </c>
      <c r="E37" s="186">
        <f>E84/E10/12*1000+0.04</f>
        <v>21741.804673277613</v>
      </c>
      <c r="F37" s="186">
        <f>F84/F10/3*1000-0.04</f>
        <v>21463.303433795292</v>
      </c>
      <c r="G37" s="229">
        <f>G84/G10/12*1000</f>
        <v>23597.45832124351</v>
      </c>
      <c r="H37" s="229">
        <f>H84/H10/12*1000</f>
        <v>25358.257229198418</v>
      </c>
      <c r="I37" s="229">
        <f>I84/I10/12*1000</f>
        <v>27140.614565543405</v>
      </c>
      <c r="J37" s="229">
        <f>J84/J10/12*1000</f>
        <v>29154.215875481696</v>
      </c>
    </row>
    <row r="38" spans="1:10" ht="12.75">
      <c r="A38" s="86" t="s">
        <v>16</v>
      </c>
      <c r="B38" s="80" t="s">
        <v>15</v>
      </c>
      <c r="C38" s="178"/>
      <c r="D38" s="178"/>
      <c r="E38" s="186">
        <f>E37/C37*100</f>
        <v>110.58341174001521</v>
      </c>
      <c r="F38" s="186">
        <f>F37/D37*100</f>
        <v>113.63703235314773</v>
      </c>
      <c r="G38" s="229">
        <f>G37/E37*100</f>
        <v>108.53495685317532</v>
      </c>
      <c r="H38" s="229">
        <f>H37/G37*100</f>
        <v>107.46181594637993</v>
      </c>
      <c r="I38" s="229">
        <f>I37/H37*100</f>
        <v>107.02870595654623</v>
      </c>
      <c r="J38" s="229">
        <f>J37/I37*100</f>
        <v>107.41914412098346</v>
      </c>
    </row>
    <row r="39" spans="1:10" ht="12.75">
      <c r="A39" s="83" t="s">
        <v>3</v>
      </c>
      <c r="B39" s="83"/>
      <c r="C39" s="176"/>
      <c r="D39" s="176"/>
      <c r="E39" s="176"/>
      <c r="F39" s="176"/>
      <c r="G39" s="230"/>
      <c r="H39" s="230"/>
      <c r="I39" s="229"/>
      <c r="J39" s="229"/>
    </row>
    <row r="40" spans="1:10" ht="24">
      <c r="A40" s="81" t="s">
        <v>35</v>
      </c>
      <c r="B40" s="76" t="s">
        <v>10</v>
      </c>
      <c r="C40" s="176">
        <v>14214.1</v>
      </c>
      <c r="D40" s="176">
        <f>13792.03-2.8</f>
        <v>13789.230000000001</v>
      </c>
      <c r="E40" s="177">
        <f>C40*107.103%+0.8</f>
        <v>15224.527522999999</v>
      </c>
      <c r="F40" s="176">
        <f>E40*103.45%-0.44</f>
        <v>15749.333722543497</v>
      </c>
      <c r="G40" s="231">
        <f>F40*109.82%</f>
        <v>17295.918294097268</v>
      </c>
      <c r="H40" s="231">
        <f>G40*106.1%</f>
        <v>18350.9693100372</v>
      </c>
      <c r="I40" s="230">
        <f>H40*106.864%</f>
        <v>19610.579843478154</v>
      </c>
      <c r="J40" s="230">
        <f>I40*107.4%</f>
        <v>21061.762751895538</v>
      </c>
    </row>
    <row r="41" spans="1:10" ht="12.75">
      <c r="A41" s="99" t="s">
        <v>16</v>
      </c>
      <c r="B41" s="76"/>
      <c r="C41" s="176"/>
      <c r="D41" s="176"/>
      <c r="E41" s="176">
        <f>E40/C40*100</f>
        <v>107.10862821423797</v>
      </c>
      <c r="F41" s="176">
        <f>F40/E40*100</f>
        <v>103.44710992673278</v>
      </c>
      <c r="G41" s="230">
        <f>G40/F40*100</f>
        <v>109.82000000000001</v>
      </c>
      <c r="H41" s="230">
        <f>H40/G40*100</f>
        <v>106.1</v>
      </c>
      <c r="I41" s="230">
        <f>I40/H40*100</f>
        <v>106.864</v>
      </c>
      <c r="J41" s="230">
        <f>J40/I40*100</f>
        <v>107.4</v>
      </c>
    </row>
    <row r="42" spans="1:10" ht="24.75" customHeight="1">
      <c r="A42" s="81" t="s">
        <v>36</v>
      </c>
      <c r="B42" s="76" t="s">
        <v>10</v>
      </c>
      <c r="C42" s="177">
        <v>13979</v>
      </c>
      <c r="D42" s="177">
        <v>13008</v>
      </c>
      <c r="E42" s="177">
        <f>C42*104%</f>
        <v>14538.16</v>
      </c>
      <c r="F42" s="176">
        <f>E42*103.4%-0.7</f>
        <v>15031.75744</v>
      </c>
      <c r="G42" s="231">
        <f>F42*107%</f>
        <v>16083.9804608</v>
      </c>
      <c r="H42" s="231">
        <f>G42*107.1%</f>
        <v>17225.9430735168</v>
      </c>
      <c r="I42" s="230">
        <f>H42*107.1%</f>
        <v>18448.98503173649</v>
      </c>
      <c r="J42" s="230">
        <f>I42*107.1%</f>
        <v>19758.862968989783</v>
      </c>
    </row>
    <row r="43" spans="1:10" ht="12.75">
      <c r="A43" s="99" t="s">
        <v>16</v>
      </c>
      <c r="B43" s="76"/>
      <c r="C43" s="176"/>
      <c r="D43" s="176"/>
      <c r="E43" s="176">
        <f>E42/C42*100</f>
        <v>104</v>
      </c>
      <c r="F43" s="176">
        <f>F42/E42*100</f>
        <v>103.39518508532028</v>
      </c>
      <c r="G43" s="230">
        <f>G42/F42*100</f>
        <v>107</v>
      </c>
      <c r="H43" s="230">
        <f>H42/G42*100</f>
        <v>107.1</v>
      </c>
      <c r="I43" s="230">
        <f>I42/H42*100</f>
        <v>107.1</v>
      </c>
      <c r="J43" s="230">
        <f>J42/I42*100</f>
        <v>107.1</v>
      </c>
    </row>
    <row r="44" spans="1:10" ht="12.75">
      <c r="A44" s="81" t="s">
        <v>37</v>
      </c>
      <c r="B44" s="76" t="s">
        <v>10</v>
      </c>
      <c r="C44" s="176"/>
      <c r="D44" s="176"/>
      <c r="E44" s="176"/>
      <c r="F44" s="176"/>
      <c r="G44" s="231"/>
      <c r="H44" s="231"/>
      <c r="I44" s="230"/>
      <c r="J44" s="230"/>
    </row>
    <row r="45" spans="1:10" ht="12.75">
      <c r="A45" s="99" t="s">
        <v>16</v>
      </c>
      <c r="B45" s="76" t="s">
        <v>15</v>
      </c>
      <c r="C45" s="176"/>
      <c r="D45" s="176"/>
      <c r="E45" s="176" t="e">
        <f>E44/C44*100</f>
        <v>#DIV/0!</v>
      </c>
      <c r="F45" s="176" t="e">
        <f>F44/D44*100</f>
        <v>#DIV/0!</v>
      </c>
      <c r="G45" s="231" t="e">
        <f>G44/E44*100</f>
        <v>#DIV/0!</v>
      </c>
      <c r="H45" s="231" t="e">
        <f>H44/F44*100</f>
        <v>#DIV/0!</v>
      </c>
      <c r="I45" s="230" t="e">
        <f>I44/H44*100</f>
        <v>#DIV/0!</v>
      </c>
      <c r="J45" s="230" t="e">
        <f>J44/I44*100</f>
        <v>#DIV/0!</v>
      </c>
    </row>
    <row r="46" spans="1:10" ht="24">
      <c r="A46" s="81" t="s">
        <v>38</v>
      </c>
      <c r="B46" s="76" t="s">
        <v>10</v>
      </c>
      <c r="C46" s="177"/>
      <c r="D46" s="176"/>
      <c r="E46" s="176"/>
      <c r="F46" s="176"/>
      <c r="G46" s="231"/>
      <c r="H46" s="231"/>
      <c r="I46" s="230"/>
      <c r="J46" s="230"/>
    </row>
    <row r="47" spans="1:10" ht="12.75">
      <c r="A47" s="99" t="s">
        <v>16</v>
      </c>
      <c r="B47" s="76" t="s">
        <v>15</v>
      </c>
      <c r="C47" s="176"/>
      <c r="D47" s="176"/>
      <c r="E47" s="176" t="e">
        <f>E46/C46*100</f>
        <v>#DIV/0!</v>
      </c>
      <c r="F47" s="176" t="e">
        <f>F46/D46*100</f>
        <v>#DIV/0!</v>
      </c>
      <c r="G47" s="231" t="e">
        <f>G46/E46*100</f>
        <v>#DIV/0!</v>
      </c>
      <c r="H47" s="231" t="e">
        <f>H46/F46*100</f>
        <v>#DIV/0!</v>
      </c>
      <c r="I47" s="230" t="e">
        <f>I46/H46*100</f>
        <v>#DIV/0!</v>
      </c>
      <c r="J47" s="230" t="e">
        <f>J46/I46*100</f>
        <v>#DIV/0!</v>
      </c>
    </row>
    <row r="48" spans="1:10" ht="24">
      <c r="A48" s="81" t="s">
        <v>39</v>
      </c>
      <c r="B48" s="76" t="s">
        <v>10</v>
      </c>
      <c r="C48" s="177">
        <v>18605.9</v>
      </c>
      <c r="D48" s="177">
        <v>16745.02</v>
      </c>
      <c r="E48" s="177">
        <f>C48*103.9%</f>
        <v>19331.530100000004</v>
      </c>
      <c r="F48" s="176">
        <f>E48*101.73%-0.4</f>
        <v>19665.565570730003</v>
      </c>
      <c r="G48" s="231">
        <f>F48*109%</f>
        <v>21435.466472095704</v>
      </c>
      <c r="H48" s="231">
        <f>G48*108.1%</f>
        <v>23171.739256335455</v>
      </c>
      <c r="I48" s="230">
        <f>H48*106.9%</f>
        <v>24770.5892650226</v>
      </c>
      <c r="J48" s="230">
        <f>I48*106.6%</f>
        <v>26405.44815651409</v>
      </c>
    </row>
    <row r="49" spans="1:10" ht="12.75">
      <c r="A49" s="99" t="s">
        <v>16</v>
      </c>
      <c r="B49" s="76" t="s">
        <v>15</v>
      </c>
      <c r="C49" s="176"/>
      <c r="D49" s="176"/>
      <c r="E49" s="176">
        <f>E48/C48*100</f>
        <v>103.90000000000002</v>
      </c>
      <c r="F49" s="176">
        <f>F48/E48*100</f>
        <v>101.72793084149092</v>
      </c>
      <c r="G49" s="230">
        <f>G48/F48*100</f>
        <v>109.00000000000001</v>
      </c>
      <c r="H49" s="230">
        <f>H48/G48*100</f>
        <v>108.1</v>
      </c>
      <c r="I49" s="230">
        <f>I48/H48*100</f>
        <v>106.89999999999999</v>
      </c>
      <c r="J49" s="230">
        <f>J48/I48*100</f>
        <v>106.59999999999998</v>
      </c>
    </row>
    <row r="50" spans="1:10" ht="36">
      <c r="A50" s="81" t="s">
        <v>40</v>
      </c>
      <c r="B50" s="76" t="s">
        <v>10</v>
      </c>
      <c r="C50" s="177">
        <v>19917.97</v>
      </c>
      <c r="D50" s="177">
        <v>19944</v>
      </c>
      <c r="E50" s="177">
        <f>C50*104%</f>
        <v>20714.688800000004</v>
      </c>
      <c r="F50" s="176">
        <f>E50*104.6%</f>
        <v>21667.564484800005</v>
      </c>
      <c r="G50" s="231">
        <f>F50*109%</f>
        <v>23617.645288432006</v>
      </c>
      <c r="H50" s="231">
        <f>G50*109.1%</f>
        <v>25766.851009679318</v>
      </c>
      <c r="I50" s="230">
        <f>H50*107.1%</f>
        <v>27596.297431366547</v>
      </c>
      <c r="J50" s="230">
        <f>I50*107.1%</f>
        <v>29555.63454899357</v>
      </c>
    </row>
    <row r="51" spans="1:10" ht="12.75">
      <c r="A51" s="99" t="s">
        <v>16</v>
      </c>
      <c r="B51" s="76" t="s">
        <v>15</v>
      </c>
      <c r="C51" s="176"/>
      <c r="D51" s="176"/>
      <c r="E51" s="176">
        <f>E50/C50*100</f>
        <v>104</v>
      </c>
      <c r="F51" s="176">
        <f>F50/E50*100</f>
        <v>104.60000000000001</v>
      </c>
      <c r="G51" s="230">
        <f>G50/F50*100</f>
        <v>109.00000000000001</v>
      </c>
      <c r="H51" s="230">
        <f>H50/G50*100</f>
        <v>109.1</v>
      </c>
      <c r="I51" s="230">
        <f>I50/H50*100</f>
        <v>107.1</v>
      </c>
      <c r="J51" s="230">
        <f>J50/I50*100</f>
        <v>107.1</v>
      </c>
    </row>
    <row r="52" spans="1:10" ht="12.75">
      <c r="A52" s="81" t="s">
        <v>41</v>
      </c>
      <c r="B52" s="76" t="s">
        <v>10</v>
      </c>
      <c r="C52" s="177">
        <v>19954.6</v>
      </c>
      <c r="D52" s="177">
        <v>17951.55</v>
      </c>
      <c r="E52" s="177">
        <f>C52*105.3%</f>
        <v>21012.193799999997</v>
      </c>
      <c r="F52" s="176">
        <f>E52*105.2%</f>
        <v>22104.827877599997</v>
      </c>
      <c r="G52" s="231">
        <f>F52*129.77%</f>
        <v>28685.435136761516</v>
      </c>
      <c r="H52" s="231">
        <f>G52*107.1%</f>
        <v>30722.101031471582</v>
      </c>
      <c r="I52" s="230">
        <f>H52*106.1%</f>
        <v>32596.149194391346</v>
      </c>
      <c r="J52" s="230">
        <f>I52*108.1%</f>
        <v>35236.43727913704</v>
      </c>
    </row>
    <row r="53" spans="1:10" ht="12.75">
      <c r="A53" s="99" t="s">
        <v>16</v>
      </c>
      <c r="B53" s="76" t="s">
        <v>15</v>
      </c>
      <c r="C53" s="176"/>
      <c r="D53" s="176"/>
      <c r="E53" s="176">
        <f>E52/C52*100</f>
        <v>105.3</v>
      </c>
      <c r="F53" s="176">
        <f>F52/E52*100</f>
        <v>105.2</v>
      </c>
      <c r="G53" s="230">
        <f>G52/F52*100</f>
        <v>129.77</v>
      </c>
      <c r="H53" s="230">
        <f>H52/G52*100</f>
        <v>107.1</v>
      </c>
      <c r="I53" s="230">
        <f>I52/H52*100</f>
        <v>106.1</v>
      </c>
      <c r="J53" s="230">
        <f>J52/I52*100</f>
        <v>108.1</v>
      </c>
    </row>
    <row r="54" spans="1:10" ht="72">
      <c r="A54" s="81" t="s">
        <v>42</v>
      </c>
      <c r="B54" s="76" t="s">
        <v>10</v>
      </c>
      <c r="C54" s="177">
        <v>19990.1</v>
      </c>
      <c r="D54" s="177">
        <v>18290.1</v>
      </c>
      <c r="E54" s="177">
        <f>C54*104%</f>
        <v>20789.703999999998</v>
      </c>
      <c r="F54" s="176">
        <f>E54*101%+5.99</f>
        <v>21003.59104</v>
      </c>
      <c r="G54" s="231">
        <f>F54*107.8%</f>
        <v>22641.871141120002</v>
      </c>
      <c r="H54" s="231">
        <f>G54*107.1%</f>
        <v>24249.44399213952</v>
      </c>
      <c r="I54" s="230">
        <f>H54*107.1%</f>
        <v>25971.154515581424</v>
      </c>
      <c r="J54" s="230">
        <f>I54*108.1%</f>
        <v>28074.81803134352</v>
      </c>
    </row>
    <row r="55" spans="1:10" ht="12.75">
      <c r="A55" s="99" t="s">
        <v>16</v>
      </c>
      <c r="B55" s="76" t="s">
        <v>15</v>
      </c>
      <c r="C55" s="176"/>
      <c r="D55" s="176"/>
      <c r="E55" s="176">
        <f>E54/C54*100</f>
        <v>104</v>
      </c>
      <c r="F55" s="176">
        <f>F54/E54*100</f>
        <v>101.02881233903089</v>
      </c>
      <c r="G55" s="230">
        <f>G54/F54*100</f>
        <v>107.80000000000001</v>
      </c>
      <c r="H55" s="230">
        <f>H54/G54*100</f>
        <v>107.1</v>
      </c>
      <c r="I55" s="230">
        <f>I54/H54*100</f>
        <v>107.1</v>
      </c>
      <c r="J55" s="230">
        <f>J54/I54*100</f>
        <v>108.1</v>
      </c>
    </row>
    <row r="56" spans="1:10" ht="12.75">
      <c r="A56" s="81" t="s">
        <v>43</v>
      </c>
      <c r="B56" s="76" t="s">
        <v>10</v>
      </c>
      <c r="C56" s="177"/>
      <c r="D56" s="176"/>
      <c r="E56" s="176"/>
      <c r="F56" s="176"/>
      <c r="G56" s="231"/>
      <c r="H56" s="231"/>
      <c r="I56" s="230"/>
      <c r="J56" s="230"/>
    </row>
    <row r="57" spans="1:10" ht="48">
      <c r="A57" s="81" t="s">
        <v>44</v>
      </c>
      <c r="B57" s="76" t="s">
        <v>10</v>
      </c>
      <c r="C57" s="177">
        <v>21490</v>
      </c>
      <c r="D57" s="177">
        <v>19490</v>
      </c>
      <c r="E57" s="177">
        <f>C57*103.6%</f>
        <v>22263.64</v>
      </c>
      <c r="F57" s="176">
        <f>E57*101.2%</f>
        <v>22530.80368</v>
      </c>
      <c r="G57" s="231">
        <f>F57*107%</f>
        <v>24107.9599376</v>
      </c>
      <c r="H57" s="231">
        <f>G57*107.1%</f>
        <v>25819.625093169598</v>
      </c>
      <c r="I57" s="230">
        <f>H57*107.1%</f>
        <v>27652.81847478464</v>
      </c>
      <c r="J57" s="230">
        <f>I57*107.1%</f>
        <v>29616.168586494347</v>
      </c>
    </row>
    <row r="58" spans="1:10" ht="12.75">
      <c r="A58" s="99" t="s">
        <v>16</v>
      </c>
      <c r="B58" s="76" t="s">
        <v>15</v>
      </c>
      <c r="C58" s="176"/>
      <c r="D58" s="176"/>
      <c r="E58" s="176">
        <f>E57/C57*100</f>
        <v>103.60000000000001</v>
      </c>
      <c r="F58" s="176">
        <f>F57/E57*100</f>
        <v>101.2</v>
      </c>
      <c r="G58" s="230">
        <f>G57/F57*100</f>
        <v>107</v>
      </c>
      <c r="H58" s="230">
        <f>H57/G57*100</f>
        <v>107.1</v>
      </c>
      <c r="I58" s="230">
        <f>I57/H57*100</f>
        <v>107.1</v>
      </c>
      <c r="J58" s="230">
        <f>J57/I57*100</f>
        <v>107.1</v>
      </c>
    </row>
    <row r="59" spans="1:10" ht="49.5" customHeight="1">
      <c r="A59" s="81" t="s">
        <v>45</v>
      </c>
      <c r="B59" s="76" t="s">
        <v>10</v>
      </c>
      <c r="C59" s="177">
        <v>16830.2</v>
      </c>
      <c r="D59" s="177">
        <v>15860.2</v>
      </c>
      <c r="E59" s="177">
        <f>C59*103.6%</f>
        <v>17436.0872</v>
      </c>
      <c r="F59" s="176">
        <f>E59*102%</f>
        <v>17784.808944</v>
      </c>
      <c r="G59" s="231">
        <f>F59*107%</f>
        <v>19029.745570080002</v>
      </c>
      <c r="H59" s="231">
        <f>G59*105.1%</f>
        <v>20000.26259415408</v>
      </c>
      <c r="I59" s="230">
        <f>H59*107.1%</f>
        <v>21420.28123833902</v>
      </c>
      <c r="J59" s="230">
        <f>I59*107.1%</f>
        <v>22941.12120626109</v>
      </c>
    </row>
    <row r="60" spans="1:10" ht="18" customHeight="1">
      <c r="A60" s="99" t="s">
        <v>16</v>
      </c>
      <c r="B60" s="76" t="s">
        <v>15</v>
      </c>
      <c r="C60" s="176"/>
      <c r="D60" s="176"/>
      <c r="E60" s="176">
        <f>E59/C59*100</f>
        <v>103.60000000000001</v>
      </c>
      <c r="F60" s="176">
        <f>F59/E59*100</f>
        <v>102</v>
      </c>
      <c r="G60" s="230">
        <f>G59/F59*100</f>
        <v>107</v>
      </c>
      <c r="H60" s="230">
        <f>H59/G59*100</f>
        <v>105.1</v>
      </c>
      <c r="I60" s="230">
        <f>I59/H59*100</f>
        <v>107.1</v>
      </c>
      <c r="J60" s="230">
        <f>J59/I59*100</f>
        <v>107.1</v>
      </c>
    </row>
    <row r="61" spans="1:10" ht="12.75">
      <c r="A61" s="81" t="s">
        <v>46</v>
      </c>
      <c r="B61" s="76" t="s">
        <v>10</v>
      </c>
      <c r="C61" s="177">
        <v>12446</v>
      </c>
      <c r="D61" s="177">
        <v>11449</v>
      </c>
      <c r="E61" s="177">
        <f>C61*104.2%</f>
        <v>12968.732</v>
      </c>
      <c r="F61" s="176">
        <f>E61*102.2%</f>
        <v>13254.044104</v>
      </c>
      <c r="G61" s="231">
        <f>F61*107%</f>
        <v>14181.827191280001</v>
      </c>
      <c r="H61" s="231">
        <f>G61*106.1%</f>
        <v>15046.91864994808</v>
      </c>
      <c r="I61" s="230">
        <f>H61*107.1%</f>
        <v>16115.249874094394</v>
      </c>
      <c r="J61" s="230">
        <f>I61*107.1%</f>
        <v>17259.432615155096</v>
      </c>
    </row>
    <row r="62" spans="1:10" ht="12.75">
      <c r="A62" s="99" t="s">
        <v>16</v>
      </c>
      <c r="B62" s="76" t="s">
        <v>15</v>
      </c>
      <c r="C62" s="176"/>
      <c r="D62" s="176"/>
      <c r="E62" s="176">
        <f>E61/C61*100</f>
        <v>104.2</v>
      </c>
      <c r="F62" s="176">
        <f>F61/E61*100</f>
        <v>102.2</v>
      </c>
      <c r="G62" s="230">
        <f>G61/F61*100</f>
        <v>107</v>
      </c>
      <c r="H62" s="230">
        <f>H61/G61*100</f>
        <v>106.1</v>
      </c>
      <c r="I62" s="230">
        <f>I61/H61*100</f>
        <v>107.1</v>
      </c>
      <c r="J62" s="230">
        <f>J61/I61*100</f>
        <v>107.1</v>
      </c>
    </row>
    <row r="63" spans="1:10" ht="12.75">
      <c r="A63" s="81" t="s">
        <v>47</v>
      </c>
      <c r="B63" s="76" t="s">
        <v>10</v>
      </c>
      <c r="C63" s="177">
        <v>25596</v>
      </c>
      <c r="D63" s="177">
        <v>24599</v>
      </c>
      <c r="E63" s="177">
        <f>C63*104.2%</f>
        <v>26671.032</v>
      </c>
      <c r="F63" s="176">
        <f>E63*102.2%</f>
        <v>27257.794704</v>
      </c>
      <c r="G63" s="231">
        <f>F63*108%</f>
        <v>29438.418280320002</v>
      </c>
      <c r="H63" s="231">
        <f>G63*106.1%</f>
        <v>31234.16179541952</v>
      </c>
      <c r="I63" s="230">
        <f>H63*107.1%</f>
        <v>33451.78728289431</v>
      </c>
      <c r="J63" s="230">
        <f>I63*108.1%</f>
        <v>36161.382052808745</v>
      </c>
    </row>
    <row r="64" spans="1:10" ht="12.75">
      <c r="A64" s="99" t="s">
        <v>16</v>
      </c>
      <c r="B64" s="76" t="s">
        <v>15</v>
      </c>
      <c r="C64" s="176"/>
      <c r="D64" s="176"/>
      <c r="E64" s="176">
        <f>E63/C63*100</f>
        <v>104.2</v>
      </c>
      <c r="F64" s="176">
        <f>F63/E63*100</f>
        <v>102.2</v>
      </c>
      <c r="G64" s="230">
        <f>G63/F63*100</f>
        <v>108</v>
      </c>
      <c r="H64" s="230">
        <f>H63/G63*100</f>
        <v>106.1</v>
      </c>
      <c r="I64" s="230">
        <f>I63/H63*100</f>
        <v>107.1</v>
      </c>
      <c r="J64" s="230">
        <f>J63/I63*100</f>
        <v>108.1</v>
      </c>
    </row>
    <row r="65" spans="1:10" ht="12.75">
      <c r="A65" s="81" t="s">
        <v>48</v>
      </c>
      <c r="B65" s="76" t="s">
        <v>10</v>
      </c>
      <c r="C65" s="177">
        <v>13500.2</v>
      </c>
      <c r="D65" s="177">
        <v>11500.2</v>
      </c>
      <c r="E65" s="177">
        <f>C65*105.6%</f>
        <v>14256.211200000002</v>
      </c>
      <c r="F65" s="176">
        <f>E65*105.2%</f>
        <v>14997.534182400002</v>
      </c>
      <c r="G65" s="231">
        <f>F65*108%</f>
        <v>16197.336916992004</v>
      </c>
      <c r="H65" s="231">
        <f>G65*107.1%</f>
        <v>17347.347838098434</v>
      </c>
      <c r="I65" s="230">
        <f>H65*107.1%</f>
        <v>18579.00953460342</v>
      </c>
      <c r="J65" s="230">
        <f>I65*107.1%</f>
        <v>19898.119211560264</v>
      </c>
    </row>
    <row r="66" spans="1:10" ht="12.75">
      <c r="A66" s="99" t="s">
        <v>16</v>
      </c>
      <c r="B66" s="76" t="s">
        <v>15</v>
      </c>
      <c r="C66" s="176"/>
      <c r="D66" s="176"/>
      <c r="E66" s="176">
        <f>E65/C65*100</f>
        <v>105.60000000000001</v>
      </c>
      <c r="F66" s="176">
        <f>F65/E65*100</f>
        <v>105.2</v>
      </c>
      <c r="G66" s="230">
        <f>G65/F65*100</f>
        <v>108</v>
      </c>
      <c r="H66" s="230">
        <f>H65/G65*100</f>
        <v>107.1</v>
      </c>
      <c r="I66" s="230">
        <f>I65/H65*100</f>
        <v>107.1</v>
      </c>
      <c r="J66" s="230">
        <f>J65/I65*100</f>
        <v>107.1</v>
      </c>
    </row>
    <row r="67" spans="1:10" ht="12.75">
      <c r="A67" s="81" t="s">
        <v>49</v>
      </c>
      <c r="B67" s="76" t="s">
        <v>10</v>
      </c>
      <c r="C67" s="177">
        <v>26780.2</v>
      </c>
      <c r="D67" s="177">
        <v>24180.2</v>
      </c>
      <c r="E67" s="177">
        <f>C67*104.3%</f>
        <v>27931.7486</v>
      </c>
      <c r="F67" s="176">
        <f>E67*103.2%</f>
        <v>28825.5645552</v>
      </c>
      <c r="G67" s="231">
        <f>F67*107%</f>
        <v>30843.354074064002</v>
      </c>
      <c r="H67" s="231">
        <f>G67*106.1%</f>
        <v>32724.798672581903</v>
      </c>
      <c r="I67" s="230">
        <f>H67*107.1%</f>
        <v>35048.25937833521</v>
      </c>
      <c r="J67" s="230">
        <f>I67*107.1%</f>
        <v>37536.68579419701</v>
      </c>
    </row>
    <row r="68" spans="1:10" ht="12.75">
      <c r="A68" s="99" t="s">
        <v>16</v>
      </c>
      <c r="B68" s="76" t="s">
        <v>15</v>
      </c>
      <c r="C68" s="176"/>
      <c r="D68" s="176"/>
      <c r="E68" s="176">
        <f>E67/C67*100</f>
        <v>104.3</v>
      </c>
      <c r="F68" s="176">
        <f>F67/E67*100</f>
        <v>103.2</v>
      </c>
      <c r="G68" s="230">
        <f>G67/F67*100</f>
        <v>107</v>
      </c>
      <c r="H68" s="230">
        <f>H67/G67*100</f>
        <v>106.1</v>
      </c>
      <c r="I68" s="230">
        <f>I67/H67*100</f>
        <v>107.1</v>
      </c>
      <c r="J68" s="230">
        <f>J67/I67*100</f>
        <v>107.1</v>
      </c>
    </row>
    <row r="69" spans="1:10" ht="24.75" customHeight="1">
      <c r="A69" s="81" t="s">
        <v>50</v>
      </c>
      <c r="B69" s="76" t="s">
        <v>10</v>
      </c>
      <c r="C69" s="176">
        <v>18050.4</v>
      </c>
      <c r="D69" s="176">
        <v>17850.4</v>
      </c>
      <c r="E69" s="177">
        <f>C69*105.2%</f>
        <v>18989.020800000002</v>
      </c>
      <c r="F69" s="176">
        <f>E69*102%</f>
        <v>19368.801216000003</v>
      </c>
      <c r="G69" s="231">
        <f>F69*109%</f>
        <v>21111.993325440006</v>
      </c>
      <c r="H69" s="231">
        <f>G69*110.1%</f>
        <v>23244.304651309445</v>
      </c>
      <c r="I69" s="230">
        <f>H69*107.1%</f>
        <v>24894.650281552415</v>
      </c>
      <c r="J69" s="230">
        <f>I69*107.1%</f>
        <v>26662.170451542635</v>
      </c>
    </row>
    <row r="70" spans="1:10" ht="18" customHeight="1">
      <c r="A70" s="99" t="s">
        <v>16</v>
      </c>
      <c r="B70" s="76" t="s">
        <v>15</v>
      </c>
      <c r="C70" s="176"/>
      <c r="D70" s="176"/>
      <c r="E70" s="176">
        <f>E69/C69*100</f>
        <v>105.2</v>
      </c>
      <c r="F70" s="176">
        <f>F69/E69*100</f>
        <v>102</v>
      </c>
      <c r="G70" s="230">
        <f>G69/F69*100</f>
        <v>109.00000000000001</v>
      </c>
      <c r="H70" s="230">
        <f>H69/G69*100</f>
        <v>110.1</v>
      </c>
      <c r="I70" s="230">
        <f>I69/H69*100</f>
        <v>107.1</v>
      </c>
      <c r="J70" s="230">
        <f>J69/I69*100</f>
        <v>107.1</v>
      </c>
    </row>
    <row r="71" spans="1:10" ht="60">
      <c r="A71" s="81" t="s">
        <v>51</v>
      </c>
      <c r="B71" s="76" t="s">
        <v>10</v>
      </c>
      <c r="C71" s="176">
        <v>22760.5</v>
      </c>
      <c r="D71" s="176">
        <v>22906</v>
      </c>
      <c r="E71" s="177">
        <f>C71*107%</f>
        <v>24353.735</v>
      </c>
      <c r="F71" s="176">
        <f>E71*108.2%</f>
        <v>26350.741270000002</v>
      </c>
      <c r="G71" s="231">
        <f>F71*111%</f>
        <v>29249.322809700006</v>
      </c>
      <c r="H71" s="231">
        <f>G71*106.1%</f>
        <v>31033.531501091704</v>
      </c>
      <c r="I71" s="230">
        <f>H71*107.1%</f>
        <v>33236.91223766921</v>
      </c>
      <c r="J71" s="230">
        <f>I71*107.1%</f>
        <v>35596.73300654372</v>
      </c>
    </row>
    <row r="72" spans="1:10" ht="12.75">
      <c r="A72" s="99" t="s">
        <v>16</v>
      </c>
      <c r="B72" s="76" t="s">
        <v>15</v>
      </c>
      <c r="C72" s="176"/>
      <c r="D72" s="176"/>
      <c r="E72" s="176">
        <f>E71/C71*100</f>
        <v>107</v>
      </c>
      <c r="F72" s="176">
        <f>F71/E71*100</f>
        <v>108.2</v>
      </c>
      <c r="G72" s="230">
        <f>G71/F71*100</f>
        <v>111.00000000000001</v>
      </c>
      <c r="H72" s="230">
        <f>H71/G71*100</f>
        <v>106.1</v>
      </c>
      <c r="I72" s="230">
        <f>I71/H71*100</f>
        <v>107.1</v>
      </c>
      <c r="J72" s="230">
        <f>J71/I71*100</f>
        <v>107.1</v>
      </c>
    </row>
    <row r="73" spans="1:10" ht="12.75">
      <c r="A73" s="81" t="s">
        <v>52</v>
      </c>
      <c r="B73" s="76" t="s">
        <v>10</v>
      </c>
      <c r="C73" s="177">
        <v>17192.999</v>
      </c>
      <c r="D73" s="177">
        <v>17098</v>
      </c>
      <c r="E73" s="177">
        <f>C73*105.2%</f>
        <v>18087.034948</v>
      </c>
      <c r="F73" s="176">
        <f>E73*106.2%</f>
        <v>19208.431114776</v>
      </c>
      <c r="G73" s="231">
        <f>F73*111%</f>
        <v>21321.358537401364</v>
      </c>
      <c r="H73" s="231">
        <f>G73*109.22%</f>
        <v>23287.18779454977</v>
      </c>
      <c r="I73" s="230">
        <f>H73*107.1%</f>
        <v>24940.578127962803</v>
      </c>
      <c r="J73" s="230">
        <f>I73*107.1%</f>
        <v>26711.35917504816</v>
      </c>
    </row>
    <row r="74" spans="1:10" ht="12.75">
      <c r="A74" s="99" t="s">
        <v>16</v>
      </c>
      <c r="B74" s="76" t="s">
        <v>15</v>
      </c>
      <c r="C74" s="176"/>
      <c r="D74" s="176"/>
      <c r="E74" s="176">
        <f>E73/C73*100</f>
        <v>105.2</v>
      </c>
      <c r="F74" s="176">
        <f>F73/E73*100</f>
        <v>106.2</v>
      </c>
      <c r="G74" s="230">
        <f>G73/F73*100</f>
        <v>111.00000000000001</v>
      </c>
      <c r="H74" s="230">
        <f>H73/G73*100</f>
        <v>109.22</v>
      </c>
      <c r="I74" s="230">
        <f>I73/H73*100</f>
        <v>107.1</v>
      </c>
      <c r="J74" s="230">
        <f>J73/I73*100</f>
        <v>107.1</v>
      </c>
    </row>
    <row r="75" spans="1:10" ht="36">
      <c r="A75" s="81" t="s">
        <v>53</v>
      </c>
      <c r="B75" s="76" t="s">
        <v>10</v>
      </c>
      <c r="C75" s="177">
        <v>18022.5</v>
      </c>
      <c r="D75" s="177">
        <v>17360</v>
      </c>
      <c r="E75" s="177">
        <f>C75*106.5%</f>
        <v>19193.962499999998</v>
      </c>
      <c r="F75" s="176">
        <f>E75*103.2%</f>
        <v>19808.169299999998</v>
      </c>
      <c r="G75" s="231">
        <f>F75*110%</f>
        <v>21788.98623</v>
      </c>
      <c r="H75" s="231">
        <f>G75*108.1%</f>
        <v>23553.89411463</v>
      </c>
      <c r="I75" s="230">
        <f>H75*107.1%</f>
        <v>25226.220596768726</v>
      </c>
      <c r="J75" s="230">
        <f>I75*107.1%</f>
        <v>27017.282259139305</v>
      </c>
    </row>
    <row r="76" spans="1:10" ht="12.75">
      <c r="A76" s="99" t="s">
        <v>16</v>
      </c>
      <c r="B76" s="76" t="s">
        <v>15</v>
      </c>
      <c r="C76" s="176"/>
      <c r="D76" s="176"/>
      <c r="E76" s="176">
        <f>E75/C75*100</f>
        <v>106.5</v>
      </c>
      <c r="F76" s="176">
        <f>F75/E75*100</f>
        <v>103.2</v>
      </c>
      <c r="G76" s="230">
        <f>G75/F75*100</f>
        <v>110.00000000000001</v>
      </c>
      <c r="H76" s="230">
        <f>H75/G75*100</f>
        <v>108.1</v>
      </c>
      <c r="I76" s="230">
        <f>I75/H75*100</f>
        <v>107.1</v>
      </c>
      <c r="J76" s="230">
        <f>J75/I75*100</f>
        <v>107.1</v>
      </c>
    </row>
    <row r="77" spans="1:10" ht="36">
      <c r="A77" s="81" t="s">
        <v>54</v>
      </c>
      <c r="B77" s="76" t="s">
        <v>10</v>
      </c>
      <c r="C77" s="177">
        <v>15989.398</v>
      </c>
      <c r="D77" s="177">
        <v>15089.398</v>
      </c>
      <c r="E77" s="177">
        <f>C77*108%</f>
        <v>17268.54984</v>
      </c>
      <c r="F77" s="176">
        <f>E77*102%</f>
        <v>17613.9208368</v>
      </c>
      <c r="G77" s="231">
        <f>F77*110%</f>
        <v>19375.312920480003</v>
      </c>
      <c r="H77" s="231">
        <f>G77*106.61%</f>
        <v>20656.02110452373</v>
      </c>
      <c r="I77" s="230">
        <f>H77*107.1%</f>
        <v>22122.598602944912</v>
      </c>
      <c r="J77" s="230">
        <f>I77*107.088%</f>
        <v>23690.648391921644</v>
      </c>
    </row>
    <row r="78" spans="1:10" ht="12.75">
      <c r="A78" s="99" t="s">
        <v>16</v>
      </c>
      <c r="B78" s="76" t="s">
        <v>15</v>
      </c>
      <c r="C78" s="176"/>
      <c r="D78" s="176"/>
      <c r="E78" s="176">
        <f>E77/C77*100</f>
        <v>108</v>
      </c>
      <c r="F78" s="176">
        <f>F77/E77*100</f>
        <v>102</v>
      </c>
      <c r="G78" s="230">
        <f>G77/F77*100</f>
        <v>110.00000000000001</v>
      </c>
      <c r="H78" s="230">
        <f>H77/G77*100</f>
        <v>106.61</v>
      </c>
      <c r="I78" s="230">
        <f>I77/H77*100</f>
        <v>107.1</v>
      </c>
      <c r="J78" s="230">
        <f>J77/I77*100</f>
        <v>107.08799999999998</v>
      </c>
    </row>
    <row r="79" spans="1:10" ht="51">
      <c r="A79" s="94" t="s">
        <v>60</v>
      </c>
      <c r="B79" s="76" t="s">
        <v>10</v>
      </c>
      <c r="C79" s="177">
        <v>16450.71</v>
      </c>
      <c r="D79" s="177">
        <v>18112.3</v>
      </c>
      <c r="E79" s="177">
        <v>18112</v>
      </c>
      <c r="F79" s="176">
        <f>E79*108.2%</f>
        <v>19597.184</v>
      </c>
      <c r="G79" s="178">
        <f>F79*106%</f>
        <v>20773.015040000002</v>
      </c>
      <c r="H79" s="178">
        <f>G79*110.1%</f>
        <v>22871.089559040003</v>
      </c>
      <c r="I79" s="176">
        <f>H79*107.1%</f>
        <v>24494.936917731844</v>
      </c>
      <c r="J79" s="176">
        <f>I79*107.1%</f>
        <v>26234.077438890803</v>
      </c>
    </row>
    <row r="80" spans="1:10" ht="12.75">
      <c r="A80" s="99" t="s">
        <v>16</v>
      </c>
      <c r="B80" s="76" t="s">
        <v>15</v>
      </c>
      <c r="C80" s="176"/>
      <c r="D80" s="176"/>
      <c r="E80" s="176">
        <f>E79/C79*100</f>
        <v>110.0985914893643</v>
      </c>
      <c r="F80" s="176">
        <f>F79/E79*100</f>
        <v>108.2</v>
      </c>
      <c r="G80" s="176">
        <f>G79/F79*100</f>
        <v>106</v>
      </c>
      <c r="H80" s="176">
        <f>H79/G79*100</f>
        <v>110.1</v>
      </c>
      <c r="I80" s="176">
        <f>I79/H79*100</f>
        <v>107.1</v>
      </c>
      <c r="J80" s="176">
        <f>J79/I79*100</f>
        <v>107.1</v>
      </c>
    </row>
    <row r="81" spans="1:10" ht="38.25">
      <c r="A81" s="94" t="s">
        <v>56</v>
      </c>
      <c r="B81" s="76" t="s">
        <v>10</v>
      </c>
      <c r="C81" s="177">
        <v>20398</v>
      </c>
      <c r="D81" s="177">
        <v>20398</v>
      </c>
      <c r="E81" s="177">
        <f>C81*104.6%</f>
        <v>21336.308</v>
      </c>
      <c r="F81" s="176">
        <f>E81*102%</f>
        <v>21763.034160000003</v>
      </c>
      <c r="G81" s="238">
        <f>F81*101%</f>
        <v>21980.664501600004</v>
      </c>
      <c r="H81" s="238">
        <f>G81*105%</f>
        <v>23079.697726680006</v>
      </c>
      <c r="I81" s="176">
        <f>H81*107.1%</f>
        <v>24718.356265274284</v>
      </c>
      <c r="J81" s="176">
        <f>I81*107.1%</f>
        <v>26473.359560108758</v>
      </c>
    </row>
    <row r="82" spans="1:10" ht="18.75" customHeight="1">
      <c r="A82" s="99" t="s">
        <v>16</v>
      </c>
      <c r="B82" s="76" t="s">
        <v>15</v>
      </c>
      <c r="C82" s="176"/>
      <c r="D82" s="176"/>
      <c r="E82" s="176">
        <f aca="true" t="shared" si="2" ref="E82:J82">E81/C81*100</f>
        <v>104.60000000000001</v>
      </c>
      <c r="F82" s="176">
        <f t="shared" si="2"/>
        <v>106.69200000000001</v>
      </c>
      <c r="G82" s="178">
        <f t="shared" si="2"/>
        <v>103.02000000000002</v>
      </c>
      <c r="H82" s="178">
        <f t="shared" si="2"/>
        <v>106.05000000000003</v>
      </c>
      <c r="I82" s="178">
        <f t="shared" si="2"/>
        <v>112.455</v>
      </c>
      <c r="J82" s="178">
        <f t="shared" si="2"/>
        <v>114.7041</v>
      </c>
    </row>
    <row r="83" spans="1:10" ht="18.75" customHeight="1">
      <c r="A83" s="83" t="s">
        <v>8</v>
      </c>
      <c r="B83" s="76"/>
      <c r="C83" s="176"/>
      <c r="D83" s="176"/>
      <c r="E83" s="176"/>
      <c r="F83" s="176"/>
      <c r="G83" s="178"/>
      <c r="H83" s="178"/>
      <c r="I83" s="176"/>
      <c r="J83" s="176"/>
    </row>
    <row r="84" spans="1:10" ht="18.75" customHeight="1">
      <c r="A84" s="83" t="s">
        <v>9</v>
      </c>
      <c r="B84" s="80" t="s">
        <v>11</v>
      </c>
      <c r="C84" s="189">
        <f>C86+C88+C89+C90+C91+C92+C93+C97+C98+C100+C101+C102+C103+C104+C105-110.7</f>
        <v>5417220.898092</v>
      </c>
      <c r="D84" s="189">
        <f>D86+D88+D89+D90+D91+D92+D93+D97+D98+D100+D101+D102+D103+D104+D105-295.25</f>
        <v>1297480.997512</v>
      </c>
      <c r="E84" s="189">
        <f aca="true" t="shared" si="3" ref="E84:J84">E86+E88+E89+E90+E91+E92+E93+E97+E98+E100+E101+E102+E103+E104+E105</f>
        <v>5877842.595891256</v>
      </c>
      <c r="F84" s="189">
        <f>F86+F88+F89+F90+F91+F92+F93+F97+F98+F100+F101+F102+F103+F104+F105</f>
        <v>1450578.602629621</v>
      </c>
      <c r="G84" s="232">
        <f t="shared" si="3"/>
        <v>6363385.00073981</v>
      </c>
      <c r="H84" s="233">
        <f t="shared" si="3"/>
        <v>6829993.002112302</v>
      </c>
      <c r="I84" s="233">
        <f t="shared" si="3"/>
        <v>7308099.002834742</v>
      </c>
      <c r="J84" s="233">
        <f t="shared" si="3"/>
        <v>7848897.997997182</v>
      </c>
    </row>
    <row r="85" spans="1:10" ht="12.75">
      <c r="A85" s="78" t="s">
        <v>3</v>
      </c>
      <c r="B85" s="78"/>
      <c r="C85" s="179"/>
      <c r="D85" s="179"/>
      <c r="E85" s="191"/>
      <c r="F85" s="191"/>
      <c r="G85" s="191"/>
      <c r="H85" s="191"/>
      <c r="I85" s="191"/>
      <c r="J85" s="191"/>
    </row>
    <row r="86" spans="1:10" ht="24">
      <c r="A86" s="81" t="s">
        <v>35</v>
      </c>
      <c r="B86" s="76" t="s">
        <v>11</v>
      </c>
      <c r="C86" s="180">
        <f>C11*C40*12/1000</f>
        <v>387021.5148</v>
      </c>
      <c r="D86" s="180">
        <f>D11*D40*3/1000</f>
        <v>91257.12414000001</v>
      </c>
      <c r="E86" s="181">
        <f>E11*E40*12/1000+6921-10.71</f>
        <v>368279.67528592795</v>
      </c>
      <c r="F86" s="181">
        <f>F11*F40*3/1000-78+45.2-0.1+3.09-5.1+5.7</f>
        <v>93380.08830840547</v>
      </c>
      <c r="G86" s="181">
        <f>G11*G40*12/1000-24.7</f>
        <v>406567.74725763855</v>
      </c>
      <c r="H86" s="181">
        <f>H11*H40*12/1000-1.69</f>
        <v>429851.4151183114</v>
      </c>
      <c r="I86" s="181">
        <f>I11*I40*12/1000+3.56</f>
        <v>459126.45529551053</v>
      </c>
      <c r="J86" s="181">
        <f>J11*J40*12/1000+0.31</f>
        <v>492592.8172413329</v>
      </c>
    </row>
    <row r="87" spans="1:10" ht="48">
      <c r="A87" s="81" t="s">
        <v>36</v>
      </c>
      <c r="B87" s="76" t="s">
        <v>11</v>
      </c>
      <c r="C87" s="180">
        <f>C12*C42*12/1000</f>
        <v>348915.84</v>
      </c>
      <c r="D87" s="180">
        <f>D12*D42*3/1000</f>
        <v>78711.408</v>
      </c>
      <c r="E87" s="181">
        <f>E12*E42*12/1000</f>
        <v>310884.01344</v>
      </c>
      <c r="F87" s="181">
        <f>F12*F42*3/1000</f>
        <v>80359.77527423999</v>
      </c>
      <c r="G87" s="181">
        <f>G12*G42*12/1000</f>
        <v>329271.2479934976</v>
      </c>
      <c r="H87" s="181">
        <f>H12*H42*12/1000</f>
        <v>351409.23869974265</v>
      </c>
      <c r="I87" s="181">
        <f>I12*I42*12/1000</f>
        <v>376137.90682704357</v>
      </c>
      <c r="J87" s="181">
        <f>J12*J42*12/1000</f>
        <v>402843.6982117637</v>
      </c>
    </row>
    <row r="88" spans="1:10" ht="12.75">
      <c r="A88" s="81" t="s">
        <v>37</v>
      </c>
      <c r="B88" s="76" t="s">
        <v>11</v>
      </c>
      <c r="C88" s="180">
        <f>C13*C44*12/1000</f>
        <v>0</v>
      </c>
      <c r="D88" s="181">
        <f>D13*D44*3/1000</f>
        <v>0</v>
      </c>
      <c r="E88" s="181">
        <f>E13*E44*12/1000</f>
        <v>0</v>
      </c>
      <c r="F88" s="181">
        <f>F13*F44*3/1000</f>
        <v>0</v>
      </c>
      <c r="G88" s="181">
        <f>G13*G44*12/1000</f>
        <v>0</v>
      </c>
      <c r="H88" s="181">
        <f>H13*H44*12/1000</f>
        <v>0</v>
      </c>
      <c r="I88" s="181">
        <f>I13*I44*12/1000</f>
        <v>0</v>
      </c>
      <c r="J88" s="181">
        <f>J13*J44*12/1000</f>
        <v>0</v>
      </c>
    </row>
    <row r="89" spans="1:10" ht="24">
      <c r="A89" s="81" t="s">
        <v>38</v>
      </c>
      <c r="B89" s="76" t="s">
        <v>11</v>
      </c>
      <c r="C89" s="180">
        <f>C14*C46*12/1000</f>
        <v>0</v>
      </c>
      <c r="D89" s="181">
        <f>D14*D46*3/1000</f>
        <v>0</v>
      </c>
      <c r="E89" s="181">
        <f>E14*E46*12/1000</f>
        <v>0</v>
      </c>
      <c r="F89" s="181">
        <f>F14*F46*3/1000</f>
        <v>0</v>
      </c>
      <c r="G89" s="181">
        <f>G14*G46*12/1000</f>
        <v>0</v>
      </c>
      <c r="H89" s="181">
        <f>H14*H46*12/1000</f>
        <v>0</v>
      </c>
      <c r="I89" s="181">
        <f>I14*I46*12/1000</f>
        <v>0</v>
      </c>
      <c r="J89" s="181">
        <f>J14*J46*12/1000</f>
        <v>0</v>
      </c>
    </row>
    <row r="90" spans="1:10" ht="24">
      <c r="A90" s="81" t="s">
        <v>39</v>
      </c>
      <c r="B90" s="76" t="s">
        <v>11</v>
      </c>
      <c r="C90" s="180">
        <f>C15*C48*12/1000</f>
        <v>592560.7032000001</v>
      </c>
      <c r="D90" s="181">
        <f>D15*D48*3/1000</f>
        <v>133323.84923999998</v>
      </c>
      <c r="E90" s="181">
        <f>E15*E48*12/1000</f>
        <v>597576.2584512001</v>
      </c>
      <c r="F90" s="181">
        <f>F15*F48*3/1000</f>
        <v>151975.49073060145</v>
      </c>
      <c r="G90" s="181">
        <f>G15*G48*12/1000</f>
        <v>659526.4324134405</v>
      </c>
      <c r="H90" s="181">
        <f>H15*H48*12/1000</f>
        <v>711835.8299546251</v>
      </c>
      <c r="I90" s="181">
        <f>I15*I48*12/1000</f>
        <v>760358.0080791337</v>
      </c>
      <c r="J90" s="181">
        <f>J15*J48*12/1000</f>
        <v>810224.7712344782</v>
      </c>
    </row>
    <row r="91" spans="1:10" ht="36">
      <c r="A91" s="81" t="s">
        <v>40</v>
      </c>
      <c r="B91" s="76" t="s">
        <v>11</v>
      </c>
      <c r="C91" s="180">
        <f>C16*C50*12/1000</f>
        <v>356850.35052</v>
      </c>
      <c r="D91" s="181">
        <f>D16*D50*3/1000</f>
        <v>89329.176</v>
      </c>
      <c r="E91" s="181">
        <f>E16*E50*12/1000</f>
        <v>361181.3139168</v>
      </c>
      <c r="F91" s="181">
        <f>F16*F50*3/1000</f>
        <v>94448.91358924322</v>
      </c>
      <c r="G91" s="181">
        <f>G16*G50*12/1000</f>
        <v>410663.6162752557</v>
      </c>
      <c r="H91" s="181">
        <f>H16*H50*12/1000</f>
        <v>447415.6009320717</v>
      </c>
      <c r="I91" s="181">
        <f>I16*I50*12/1000</f>
        <v>478850.95302907226</v>
      </c>
      <c r="J91" s="181">
        <f>J16*J50*12/1000</f>
        <v>512494.7030795485</v>
      </c>
    </row>
    <row r="92" spans="1:10" ht="12.75">
      <c r="A92" s="81" t="s">
        <v>41</v>
      </c>
      <c r="B92" s="76" t="s">
        <v>11</v>
      </c>
      <c r="C92" s="180">
        <f>C17*C52*12/1000</f>
        <v>169773.73679999998</v>
      </c>
      <c r="D92" s="181">
        <f>D17*D52*3/1000</f>
        <v>38182.94684999999</v>
      </c>
      <c r="E92" s="181">
        <f>E17*E52*12/1000</f>
        <v>178771.74485039996</v>
      </c>
      <c r="F92" s="181">
        <f>F17*F52*3/1000</f>
        <v>47016.9688956552</v>
      </c>
      <c r="G92" s="181">
        <f>G17*G52*12/1000</f>
        <v>243367.23170028473</v>
      </c>
      <c r="H92" s="181">
        <f>H17*H52*12/1000</f>
        <v>260646.3051510049</v>
      </c>
      <c r="I92" s="181">
        <f>I17*I52*12/1000</f>
        <v>276545.7297652162</v>
      </c>
      <c r="J92" s="181">
        <f>J17*J52*12/1000</f>
        <v>298945.93387619866</v>
      </c>
    </row>
    <row r="93" spans="1:10" ht="72">
      <c r="A93" s="81" t="s">
        <v>42</v>
      </c>
      <c r="B93" s="76" t="s">
        <v>11</v>
      </c>
      <c r="C93" s="180">
        <f>C18*C54*12/1000</f>
        <v>376853.3652</v>
      </c>
      <c r="D93" s="180">
        <f>D18*D54*3/1000</f>
        <v>86201.2413</v>
      </c>
      <c r="E93" s="181">
        <f>E18*E54*12/1000</f>
        <v>386937.9708479999</v>
      </c>
      <c r="F93" s="181">
        <f>F18*F54*3/1000+3.3</f>
        <v>97733.00910912</v>
      </c>
      <c r="G93" s="181">
        <f>G18*G54*12/1000</f>
        <v>420867.1007711386</v>
      </c>
      <c r="H93" s="181">
        <f>H18*H54*12/1000</f>
        <v>447838.7316468327</v>
      </c>
      <c r="I93" s="181">
        <f>I18*I54*12/1000</f>
        <v>479011.97388538375</v>
      </c>
      <c r="J93" s="181">
        <f>J18*J54*12/1000</f>
        <v>517811.9437700999</v>
      </c>
    </row>
    <row r="94" spans="1:10" ht="12.75">
      <c r="A94" s="81" t="s">
        <v>43</v>
      </c>
      <c r="B94" s="88"/>
      <c r="C94" s="179"/>
      <c r="D94" s="180"/>
      <c r="E94" s="181"/>
      <c r="F94" s="181"/>
      <c r="G94" s="191"/>
      <c r="H94" s="191"/>
      <c r="I94" s="191"/>
      <c r="J94" s="191"/>
    </row>
    <row r="95" spans="1:10" ht="48">
      <c r="A95" s="81" t="s">
        <v>44</v>
      </c>
      <c r="B95" s="76" t="s">
        <v>11</v>
      </c>
      <c r="C95" s="180">
        <f>C20*C57*12/1000</f>
        <v>140286.72</v>
      </c>
      <c r="D95" s="180">
        <f>D20*D57*3/1000</f>
        <v>31807.68</v>
      </c>
      <c r="E95" s="181">
        <f>E20*E57*12/1000</f>
        <v>139993.76832</v>
      </c>
      <c r="F95" s="181">
        <f>F20*F57*3/1000</f>
        <v>35418.423384960006</v>
      </c>
      <c r="G95" s="181">
        <f>G20*G57*12/1000</f>
        <v>154483.8072801408</v>
      </c>
      <c r="H95" s="181">
        <f>H20*H57*12/1000</f>
        <v>163283.30908920456</v>
      </c>
      <c r="I95" s="181">
        <f>I20*I57*12/1000</f>
        <v>174876.42403453807</v>
      </c>
      <c r="J95" s="181">
        <f>J20*J57*12/1000</f>
        <v>187292.65014099027</v>
      </c>
    </row>
    <row r="96" spans="1:10" ht="49.5" customHeight="1">
      <c r="A96" s="98" t="s">
        <v>45</v>
      </c>
      <c r="B96" s="76" t="s">
        <v>11</v>
      </c>
      <c r="C96" s="180">
        <f>C21*C59*12/1000</f>
        <v>207415.3848</v>
      </c>
      <c r="D96" s="180">
        <f>D21*D59*3/1000</f>
        <v>48865.2762</v>
      </c>
      <c r="E96" s="181">
        <f>E21*E59*12/1000</f>
        <v>214882.3386528</v>
      </c>
      <c r="F96" s="181">
        <f>F21*F59*3/1000</f>
        <v>54794.996356464006</v>
      </c>
      <c r="G96" s="181">
        <f>G21*G59*12/1000</f>
        <v>231782.3010435744</v>
      </c>
      <c r="H96" s="181">
        <f>H21*H59*12/1000</f>
        <v>242883.18894340712</v>
      </c>
      <c r="I96" s="181">
        <f>I21*I59*12/1000</f>
        <v>259613.8086086689</v>
      </c>
      <c r="J96" s="181">
        <f>J21*J59*12/1000</f>
        <v>278046.3890198844</v>
      </c>
    </row>
    <row r="97" spans="1:10" ht="12.75">
      <c r="A97" s="81" t="s">
        <v>46</v>
      </c>
      <c r="B97" s="76" t="s">
        <v>11</v>
      </c>
      <c r="C97" s="190">
        <f>C22*C61*12/1000</f>
        <v>18669</v>
      </c>
      <c r="D97" s="180">
        <f>D22*D61*3/1000</f>
        <v>4293.375</v>
      </c>
      <c r="E97" s="181">
        <f>E22*E61*12/1000</f>
        <v>19453.098</v>
      </c>
      <c r="F97" s="181">
        <f>F22*F61*3/1000</f>
        <v>4970.266539</v>
      </c>
      <c r="G97" s="224">
        <f>G22*G61*12/1000</f>
        <v>20932.376934329277</v>
      </c>
      <c r="H97" s="224">
        <f>H22*H61*12/1000</f>
        <v>21667.562855925236</v>
      </c>
      <c r="I97" s="224">
        <f>I22*I61*12/1000</f>
        <v>23205.95981869593</v>
      </c>
      <c r="J97" s="224">
        <f>J22*J61*12/1000</f>
        <v>24853.582965823338</v>
      </c>
    </row>
    <row r="98" spans="1:10" ht="12.75">
      <c r="A98" s="81" t="s">
        <v>47</v>
      </c>
      <c r="B98" s="76" t="s">
        <v>11</v>
      </c>
      <c r="C98" s="180">
        <f>C23*C63*12/1000</f>
        <v>1381262.544</v>
      </c>
      <c r="D98" s="180">
        <f>D23*D63*3/1000</f>
        <v>331865.109</v>
      </c>
      <c r="E98" s="181">
        <f>E23*E63*12/1000+263428</f>
        <v>1701743.4136960001</v>
      </c>
      <c r="F98" s="181">
        <f>F23*F63*3/1000</f>
        <v>367489.588199328</v>
      </c>
      <c r="G98" s="181">
        <f>G23*G63*12/1000</f>
        <v>1583669.1498080948</v>
      </c>
      <c r="H98" s="181">
        <f>H23*H63*12/1000</f>
        <v>1680272.9679463885</v>
      </c>
      <c r="I98" s="181">
        <f>I23*I63*12/1000</f>
        <v>1799572.348670582</v>
      </c>
      <c r="J98" s="181">
        <f>J23*J63*12/1000</f>
        <v>1945337.7089128995</v>
      </c>
    </row>
    <row r="99" spans="1:10" ht="12.75">
      <c r="A99" s="81" t="s">
        <v>48</v>
      </c>
      <c r="B99" s="76" t="s">
        <v>11</v>
      </c>
      <c r="C99" s="180">
        <f>C24*C65*12/1000</f>
        <v>69985.03680000002</v>
      </c>
      <c r="D99" s="180">
        <f>D24*D65*3/1000</f>
        <v>14904.2592</v>
      </c>
      <c r="E99" s="181">
        <f>E24*E65*12/1000</f>
        <v>73904.19886080001</v>
      </c>
      <c r="F99" s="181">
        <f>F24*F65*3/1000</f>
        <v>19436.804300390402</v>
      </c>
      <c r="G99" s="181">
        <f>G24*G65*12/1000</f>
        <v>83966.99457768655</v>
      </c>
      <c r="H99" s="181">
        <f>H24*H65*12/1000</f>
        <v>89928.65119270228</v>
      </c>
      <c r="I99" s="181">
        <f>I24*I65*12/1000</f>
        <v>96313.58542738414</v>
      </c>
      <c r="J99" s="181">
        <f>J24*J65*12/1000</f>
        <v>103151.84999272841</v>
      </c>
    </row>
    <row r="100" spans="1:10" ht="12.75">
      <c r="A100" s="81" t="s">
        <v>49</v>
      </c>
      <c r="B100" s="76" t="s">
        <v>11</v>
      </c>
      <c r="C100" s="180">
        <f>C25*C67*12/1000</f>
        <v>59773.40640000001</v>
      </c>
      <c r="D100" s="180">
        <f>D25*D67*3/1000</f>
        <v>13492.5516</v>
      </c>
      <c r="E100" s="181">
        <f>E25*E67*12/1000</f>
        <v>62343.6628752</v>
      </c>
      <c r="F100" s="181">
        <f>F25*F67*3/1000</f>
        <v>16084.665021801598</v>
      </c>
      <c r="G100" s="181">
        <f>G25*G67*12/1000</f>
        <v>66991.76504886702</v>
      </c>
      <c r="H100" s="181">
        <f>H25*H67*12/1000</f>
        <v>70685.56513277692</v>
      </c>
      <c r="I100" s="181">
        <f>I25*I67*12/1000</f>
        <v>75704.24025720406</v>
      </c>
      <c r="J100" s="181">
        <f>J25*J67*12/1000</f>
        <v>81079.24131546554</v>
      </c>
    </row>
    <row r="101" spans="1:10" ht="24">
      <c r="A101" s="81" t="s">
        <v>50</v>
      </c>
      <c r="B101" s="76" t="s">
        <v>11</v>
      </c>
      <c r="C101" s="180">
        <f>C26*C69*12/1000</f>
        <v>213355.728</v>
      </c>
      <c r="D101" s="180">
        <f>D26*D69*3/1000</f>
        <v>52747.932</v>
      </c>
      <c r="E101" s="181">
        <f>E26*E69*12/1000</f>
        <v>224450.225856</v>
      </c>
      <c r="F101" s="181">
        <f>F26*F69*3/1000</f>
        <v>57234.80759328002</v>
      </c>
      <c r="G101" s="181">
        <f>G26*G69*12/1000</f>
        <v>249543.7611067009</v>
      </c>
      <c r="H101" s="181">
        <f>H26*H69*12/1000</f>
        <v>274747.6809784776</v>
      </c>
      <c r="I101" s="181">
        <f>I26*I69*12/1000</f>
        <v>294254.76632794953</v>
      </c>
      <c r="J101" s="181">
        <f>J26*J69*12/1000</f>
        <v>315146.854737234</v>
      </c>
    </row>
    <row r="102" spans="1:10" ht="60">
      <c r="A102" s="81" t="s">
        <v>51</v>
      </c>
      <c r="B102" s="76" t="s">
        <v>11</v>
      </c>
      <c r="C102" s="180">
        <f>C27*C71*12/1000</f>
        <v>382376.4</v>
      </c>
      <c r="D102" s="180">
        <f>D27*D71*3/1000</f>
        <v>96205.2</v>
      </c>
      <c r="E102" s="181">
        <f>E27*E71*12/1000</f>
        <v>409142.748</v>
      </c>
      <c r="F102" s="181">
        <f>F27*F71*3/1000</f>
        <v>110673.11333400002</v>
      </c>
      <c r="G102" s="181">
        <f>G27*G71*12/1000</f>
        <v>491388.6232029601</v>
      </c>
      <c r="H102" s="181">
        <f>H27*H71*12/1000</f>
        <v>521363.32921834063</v>
      </c>
      <c r="I102" s="181">
        <f>I27*I71*12/1000</f>
        <v>558380.1255928427</v>
      </c>
      <c r="J102" s="181">
        <f>J27*J71*12/1000</f>
        <v>598025.1145099344</v>
      </c>
    </row>
    <row r="103" spans="1:10" ht="12.75">
      <c r="A103" s="81" t="s">
        <v>52</v>
      </c>
      <c r="B103" s="76" t="s">
        <v>11</v>
      </c>
      <c r="C103" s="180">
        <f>C28*C73*12/1000</f>
        <v>693840.667644</v>
      </c>
      <c r="D103" s="180">
        <f>D28*D73*3/1000</f>
        <v>172501.722</v>
      </c>
      <c r="E103" s="181">
        <f>E28*E73*12/1000</f>
        <v>729920.382361488</v>
      </c>
      <c r="F103" s="181">
        <f>F28*F73*3/1000</f>
        <v>193793.86151697507</v>
      </c>
      <c r="G103" s="181">
        <f>G28*G73*12/1000</f>
        <v>860444.7451353696</v>
      </c>
      <c r="H103" s="181">
        <f>H28*H73*12/1000</f>
        <v>939777.7506368505</v>
      </c>
      <c r="I103" s="181">
        <f>I28*I73*12/1000</f>
        <v>1006501.9709320668</v>
      </c>
      <c r="J103" s="181">
        <f>J28*J73*12/1000</f>
        <v>1077963.6108682435</v>
      </c>
    </row>
    <row r="104" spans="1:10" ht="36">
      <c r="A104" s="81" t="s">
        <v>53</v>
      </c>
      <c r="B104" s="76" t="s">
        <v>11</v>
      </c>
      <c r="C104" s="180">
        <f>C29*C75*12/1000</f>
        <v>650107.62</v>
      </c>
      <c r="D104" s="180">
        <f>D29*D75*3/1000</f>
        <v>156552.48</v>
      </c>
      <c r="E104" s="181">
        <f>E29*E75*12/1000</f>
        <v>692364.6153</v>
      </c>
      <c r="F104" s="181">
        <f>F29*F75*3/1000</f>
        <v>178630.0707474</v>
      </c>
      <c r="G104" s="181">
        <f>G29*G75*12/1000</f>
        <v>785972.3112885599</v>
      </c>
      <c r="H104" s="181">
        <f>H29*H75*12/1000</f>
        <v>849636.0685029334</v>
      </c>
      <c r="I104" s="181">
        <f>I29*I75*12/1000</f>
        <v>909960.2293666415</v>
      </c>
      <c r="J104" s="181">
        <f>J29*J75*12/1000</f>
        <v>974567.405651673</v>
      </c>
    </row>
    <row r="105" spans="1:10" ht="36">
      <c r="A105" s="81" t="s">
        <v>54</v>
      </c>
      <c r="B105" s="76" t="s">
        <v>11</v>
      </c>
      <c r="C105" s="180">
        <f>C30*C77*12/1000</f>
        <v>134886.561528</v>
      </c>
      <c r="D105" s="180">
        <f>D30*D77*3/1000</f>
        <v>31823.540382</v>
      </c>
      <c r="E105" s="181">
        <f>E30*E77*12/1000</f>
        <v>145677.48645024</v>
      </c>
      <c r="F105" s="181">
        <f>F30*F77*3/1000</f>
        <v>37147.759044811195</v>
      </c>
      <c r="G105" s="181">
        <f>G30*G77*12/1000</f>
        <v>163450.1397971693</v>
      </c>
      <c r="H105" s="181">
        <f>H30*H77*12/1000</f>
        <v>174254.19403776218</v>
      </c>
      <c r="I105" s="181">
        <f>I30*I77*12/1000</f>
        <v>186626.2418144433</v>
      </c>
      <c r="J105" s="181">
        <f>J30*J77*12/1000</f>
        <v>199854.30983425098</v>
      </c>
    </row>
    <row r="106" spans="1:10" ht="12.75">
      <c r="A106" s="83"/>
      <c r="B106" s="76"/>
      <c r="C106" s="179"/>
      <c r="D106" s="180"/>
      <c r="E106" s="181"/>
      <c r="F106" s="181"/>
      <c r="G106" s="191"/>
      <c r="H106" s="191"/>
      <c r="I106" s="191"/>
      <c r="J106" s="191"/>
    </row>
    <row r="107" spans="1:10" ht="51">
      <c r="A107" s="94" t="s">
        <v>61</v>
      </c>
      <c r="B107" s="76" t="s">
        <v>11</v>
      </c>
      <c r="C107" s="180">
        <f>C32*C79*12/1000</f>
        <v>89820.87659999999</v>
      </c>
      <c r="D107" s="180">
        <f>D32*D79*3/1000</f>
        <v>24723.2895</v>
      </c>
      <c r="E107" s="181">
        <f>E32*E79*12/1000</f>
        <v>98456.832</v>
      </c>
      <c r="F107" s="181">
        <f>F32*F79*3/1000</f>
        <v>26632.573056</v>
      </c>
      <c r="G107" s="181">
        <f>G32*G79*12/1000</f>
        <v>113420.66211840001</v>
      </c>
      <c r="H107" s="181">
        <f>H32*H79*12/1000</f>
        <v>124876.14899235842</v>
      </c>
      <c r="I107" s="181">
        <f>I32*I79*12/1000</f>
        <v>133742.35557081588</v>
      </c>
      <c r="J107" s="181">
        <f>J32*J79*12/1000</f>
        <v>143238.0628163438</v>
      </c>
    </row>
    <row r="108" spans="1:10" ht="12.75">
      <c r="A108" s="94"/>
      <c r="B108" s="76"/>
      <c r="C108" s="179"/>
      <c r="D108" s="180"/>
      <c r="E108" s="181"/>
      <c r="F108" s="181"/>
      <c r="G108" s="191"/>
      <c r="H108" s="191"/>
      <c r="I108" s="191"/>
      <c r="J108" s="191"/>
    </row>
    <row r="109" spans="1:10" ht="38.25">
      <c r="A109" s="94" t="s">
        <v>58</v>
      </c>
      <c r="B109" s="76" t="s">
        <v>11</v>
      </c>
      <c r="C109" s="180">
        <f>C34*C81*12/1000</f>
        <v>1422638.112</v>
      </c>
      <c r="D109" s="180">
        <f>D34*D81*3/1000</f>
        <v>355659.528</v>
      </c>
      <c r="E109" s="181">
        <f>E34*E81*12/1000</f>
        <v>1488335.500848</v>
      </c>
      <c r="F109" s="181">
        <f>F34*F81*3/1000</f>
        <v>379460.26361376006</v>
      </c>
      <c r="G109" s="181">
        <f>G34*G81*12/1000</f>
        <v>1533283.2329736098</v>
      </c>
      <c r="H109" s="181">
        <f>H34*H81*12/1000</f>
        <v>1609670.4382495703</v>
      </c>
      <c r="I109" s="181">
        <f>I34*I81*12/1000</f>
        <v>1723957.0393652897</v>
      </c>
      <c r="J109" s="181">
        <f>J34*J81*12/1000</f>
        <v>1846357.9891602253</v>
      </c>
    </row>
    <row r="110" spans="1:10" ht="12.75">
      <c r="A110" s="77"/>
      <c r="B110" s="91"/>
      <c r="C110" s="49"/>
      <c r="D110" s="49"/>
      <c r="E110" s="49"/>
      <c r="F110" s="49"/>
      <c r="G110" s="225"/>
      <c r="H110" s="225"/>
      <c r="I110" s="225"/>
      <c r="J110" s="225"/>
    </row>
    <row r="111" spans="1:10" ht="12.75">
      <c r="A111" s="92" t="s">
        <v>24</v>
      </c>
      <c r="B111" s="91"/>
      <c r="C111" s="49"/>
      <c r="D111" s="49"/>
      <c r="E111" s="49"/>
      <c r="F111" s="49"/>
      <c r="G111" s="49"/>
      <c r="H111" s="49"/>
      <c r="I111" s="49"/>
      <c r="J111" s="49"/>
    </row>
    <row r="112" spans="2:10" ht="12.75">
      <c r="B112" s="91"/>
      <c r="C112" s="49"/>
      <c r="D112" s="49"/>
      <c r="E112" s="49"/>
      <c r="F112" s="49"/>
      <c r="G112" s="49"/>
      <c r="H112" s="49"/>
      <c r="I112" s="49"/>
      <c r="J112" s="49"/>
    </row>
    <row r="113" spans="1:10" ht="12.75">
      <c r="A113" s="92"/>
      <c r="B113" s="91"/>
      <c r="C113" s="49"/>
      <c r="D113" s="49"/>
      <c r="E113" s="49"/>
      <c r="F113" s="49"/>
      <c r="G113" s="49"/>
      <c r="H113" s="49"/>
      <c r="I113" s="49"/>
      <c r="J113" s="49"/>
    </row>
    <row r="114" spans="1:10" ht="12.75">
      <c r="A114" s="5"/>
      <c r="B114" s="5"/>
      <c r="C114" s="51"/>
      <c r="D114" s="51"/>
      <c r="E114" s="51"/>
      <c r="F114" s="51"/>
      <c r="G114" s="51"/>
      <c r="H114" s="51"/>
      <c r="I114" s="127" t="s">
        <v>66</v>
      </c>
      <c r="J114" s="51"/>
    </row>
    <row r="115" spans="1:11" ht="15">
      <c r="A115" s="5"/>
      <c r="B115" s="93" t="s">
        <v>20</v>
      </c>
      <c r="C115" s="51"/>
      <c r="D115" s="52"/>
      <c r="E115" s="36"/>
      <c r="F115" s="36"/>
      <c r="G115" s="36"/>
      <c r="H115" s="36"/>
      <c r="I115" s="36"/>
      <c r="J115" s="36"/>
      <c r="K115" s="5"/>
    </row>
    <row r="116" spans="1:11" ht="13.5" thickBot="1">
      <c r="A116" s="111"/>
      <c r="B116" s="111"/>
      <c r="C116" s="36"/>
      <c r="D116" s="36"/>
      <c r="E116" s="36"/>
      <c r="F116" s="36"/>
      <c r="G116" s="36"/>
      <c r="H116" s="36"/>
      <c r="I116" s="36"/>
      <c r="J116" s="36"/>
      <c r="K116" s="5"/>
    </row>
    <row r="117" spans="1:11" ht="13.5" thickBot="1">
      <c r="A117" s="12"/>
      <c r="B117" s="110" t="s">
        <v>14</v>
      </c>
      <c r="C117" s="2" t="s">
        <v>0</v>
      </c>
      <c r="D117" s="2" t="s">
        <v>0</v>
      </c>
      <c r="E117" s="2" t="s">
        <v>0</v>
      </c>
      <c r="F117" s="2" t="s">
        <v>0</v>
      </c>
      <c r="G117" s="2" t="s">
        <v>1</v>
      </c>
      <c r="H117" s="8"/>
      <c r="I117" s="9" t="s">
        <v>5</v>
      </c>
      <c r="J117" s="10"/>
      <c r="K117" s="5"/>
    </row>
    <row r="118" spans="1:11" ht="12.75">
      <c r="A118" s="3" t="s">
        <v>2</v>
      </c>
      <c r="B118" s="3" t="s">
        <v>12</v>
      </c>
      <c r="C118" s="3" t="s">
        <v>504</v>
      </c>
      <c r="D118" s="102" t="s">
        <v>78</v>
      </c>
      <c r="E118" s="3" t="s">
        <v>505</v>
      </c>
      <c r="F118" s="102" t="s">
        <v>78</v>
      </c>
      <c r="G118" s="3" t="s">
        <v>506</v>
      </c>
      <c r="H118" s="3" t="s">
        <v>507</v>
      </c>
      <c r="I118" s="3" t="s">
        <v>516</v>
      </c>
      <c r="J118" s="3" t="s">
        <v>539</v>
      </c>
      <c r="K118" s="5"/>
    </row>
    <row r="119" spans="1:10" ht="13.5" thickBot="1">
      <c r="A119" s="4"/>
      <c r="B119" s="4" t="s">
        <v>13</v>
      </c>
      <c r="C119" s="104" t="s">
        <v>17</v>
      </c>
      <c r="D119" s="104" t="s">
        <v>505</v>
      </c>
      <c r="E119" s="104" t="s">
        <v>17</v>
      </c>
      <c r="F119" s="104" t="s">
        <v>506</v>
      </c>
      <c r="G119" s="106"/>
      <c r="H119" s="107"/>
      <c r="I119" s="6"/>
      <c r="J119" s="6"/>
    </row>
    <row r="120" spans="1:10" ht="12.75">
      <c r="A120" s="1"/>
      <c r="B120" s="1"/>
      <c r="C120" s="67"/>
      <c r="D120" s="42"/>
      <c r="E120" s="42"/>
      <c r="F120" s="42"/>
      <c r="G120" s="42"/>
      <c r="H120" s="42"/>
      <c r="I120" s="42"/>
      <c r="J120" s="42"/>
    </row>
    <row r="121" spans="1:10" ht="12.75">
      <c r="A121" s="192" t="s">
        <v>21</v>
      </c>
      <c r="B121" s="182"/>
      <c r="C121" s="170"/>
      <c r="D121" s="171"/>
      <c r="E121" s="193"/>
      <c r="F121" s="193"/>
      <c r="G121" s="193"/>
      <c r="H121" s="193"/>
      <c r="I121" s="193"/>
      <c r="J121" s="193"/>
    </row>
    <row r="122" spans="1:10" ht="12.75">
      <c r="A122" s="194" t="s">
        <v>22</v>
      </c>
      <c r="B122" s="195" t="s">
        <v>18</v>
      </c>
      <c r="C122" s="237">
        <f aca="true" t="shared" si="4" ref="C122:J122">C123+C124+C125+C126+C127+C128+C129+C130+C131+C132+C133+C134+C136+C135</f>
        <v>4312</v>
      </c>
      <c r="D122" s="237">
        <f t="shared" si="4"/>
        <v>2638</v>
      </c>
      <c r="E122" s="237">
        <f t="shared" si="4"/>
        <v>2549</v>
      </c>
      <c r="F122" s="237">
        <f t="shared" si="4"/>
        <v>2503</v>
      </c>
      <c r="G122" s="237">
        <f t="shared" si="4"/>
        <v>2450</v>
      </c>
      <c r="H122" s="237">
        <f t="shared" si="4"/>
        <v>2387</v>
      </c>
      <c r="I122" s="237">
        <f t="shared" si="4"/>
        <v>2336</v>
      </c>
      <c r="J122" s="237">
        <f t="shared" si="4"/>
        <v>2297</v>
      </c>
    </row>
    <row r="123" spans="1:10" ht="12.75">
      <c r="A123" s="196" t="s">
        <v>540</v>
      </c>
      <c r="B123" s="197" t="s">
        <v>18</v>
      </c>
      <c r="C123" s="178">
        <v>140</v>
      </c>
      <c r="D123" s="238">
        <v>350</v>
      </c>
      <c r="E123" s="178">
        <v>350</v>
      </c>
      <c r="F123" s="178">
        <v>344</v>
      </c>
      <c r="G123" s="178">
        <v>336</v>
      </c>
      <c r="H123" s="178">
        <v>336</v>
      </c>
      <c r="I123" s="178">
        <v>320</v>
      </c>
      <c r="J123" s="178">
        <v>330</v>
      </c>
    </row>
    <row r="124" spans="1:10" ht="12.75">
      <c r="A124" s="196" t="s">
        <v>541</v>
      </c>
      <c r="B124" s="197" t="s">
        <v>18</v>
      </c>
      <c r="C124" s="178">
        <v>149</v>
      </c>
      <c r="D124" s="238">
        <v>149</v>
      </c>
      <c r="E124" s="178">
        <v>155</v>
      </c>
      <c r="F124" s="178">
        <v>155</v>
      </c>
      <c r="G124" s="178">
        <v>150</v>
      </c>
      <c r="H124" s="178">
        <v>150</v>
      </c>
      <c r="I124" s="178">
        <v>150</v>
      </c>
      <c r="J124" s="178">
        <v>150</v>
      </c>
    </row>
    <row r="125" spans="1:10" ht="12.75">
      <c r="A125" s="196" t="s">
        <v>542</v>
      </c>
      <c r="B125" s="197" t="s">
        <v>18</v>
      </c>
      <c r="C125" s="178">
        <v>89</v>
      </c>
      <c r="D125" s="238">
        <v>89</v>
      </c>
      <c r="E125" s="178">
        <v>86</v>
      </c>
      <c r="F125" s="178">
        <v>86</v>
      </c>
      <c r="G125" s="178">
        <v>90</v>
      </c>
      <c r="H125" s="178">
        <v>90</v>
      </c>
      <c r="I125" s="178">
        <v>85</v>
      </c>
      <c r="J125" s="178">
        <v>84</v>
      </c>
    </row>
    <row r="126" spans="1:10" ht="12.75">
      <c r="A126" s="196" t="s">
        <v>543</v>
      </c>
      <c r="B126" s="197" t="s">
        <v>18</v>
      </c>
      <c r="C126" s="178">
        <v>371</v>
      </c>
      <c r="D126" s="238">
        <v>371</v>
      </c>
      <c r="E126" s="178">
        <v>341</v>
      </c>
      <c r="F126" s="178">
        <v>341</v>
      </c>
      <c r="G126" s="178">
        <v>320</v>
      </c>
      <c r="H126" s="178">
        <v>310</v>
      </c>
      <c r="I126" s="178">
        <v>300</v>
      </c>
      <c r="J126" s="178">
        <v>300</v>
      </c>
    </row>
    <row r="127" spans="1:10" ht="12.75">
      <c r="A127" s="196" t="s">
        <v>544</v>
      </c>
      <c r="B127" s="197" t="s">
        <v>18</v>
      </c>
      <c r="C127" s="178">
        <v>150</v>
      </c>
      <c r="D127" s="238">
        <v>150</v>
      </c>
      <c r="E127" s="178">
        <v>124</v>
      </c>
      <c r="F127" s="178">
        <v>124</v>
      </c>
      <c r="G127" s="178">
        <v>125</v>
      </c>
      <c r="H127" s="178">
        <v>125</v>
      </c>
      <c r="I127" s="178">
        <v>125</v>
      </c>
      <c r="J127" s="178">
        <v>125</v>
      </c>
    </row>
    <row r="128" spans="1:10" ht="12.75">
      <c r="A128" s="196" t="s">
        <v>545</v>
      </c>
      <c r="B128" s="197" t="s">
        <v>18</v>
      </c>
      <c r="C128" s="178">
        <v>422</v>
      </c>
      <c r="D128" s="238">
        <v>410</v>
      </c>
      <c r="E128" s="178">
        <v>410</v>
      </c>
      <c r="F128" s="178">
        <v>370</v>
      </c>
      <c r="G128" s="178">
        <v>370</v>
      </c>
      <c r="H128" s="178">
        <v>370</v>
      </c>
      <c r="I128" s="178">
        <v>370</v>
      </c>
      <c r="J128" s="178">
        <v>370</v>
      </c>
    </row>
    <row r="129" spans="1:10" ht="12.75">
      <c r="A129" s="196" t="s">
        <v>546</v>
      </c>
      <c r="B129" s="197" t="s">
        <v>18</v>
      </c>
      <c r="C129" s="178">
        <v>2080</v>
      </c>
      <c r="D129" s="238">
        <v>208</v>
      </c>
      <c r="E129" s="178">
        <v>196</v>
      </c>
      <c r="F129" s="178">
        <v>196</v>
      </c>
      <c r="G129" s="178">
        <v>191</v>
      </c>
      <c r="H129" s="178">
        <v>181</v>
      </c>
      <c r="I129" s="178">
        <v>172</v>
      </c>
      <c r="J129" s="178">
        <v>164</v>
      </c>
    </row>
    <row r="130" spans="1:10" ht="12.75">
      <c r="A130" s="196" t="s">
        <v>547</v>
      </c>
      <c r="B130" s="197" t="s">
        <v>18</v>
      </c>
      <c r="C130" s="178">
        <v>79</v>
      </c>
      <c r="D130" s="238">
        <v>79</v>
      </c>
      <c r="E130" s="178">
        <v>70</v>
      </c>
      <c r="F130" s="178">
        <v>70</v>
      </c>
      <c r="G130" s="178">
        <v>70</v>
      </c>
      <c r="H130" s="178">
        <v>70</v>
      </c>
      <c r="I130" s="178">
        <v>70</v>
      </c>
      <c r="J130" s="178">
        <v>70</v>
      </c>
    </row>
    <row r="131" spans="1:10" ht="12.75">
      <c r="A131" s="196" t="s">
        <v>548</v>
      </c>
      <c r="B131" s="197" t="s">
        <v>18</v>
      </c>
      <c r="C131" s="178">
        <v>53</v>
      </c>
      <c r="D131" s="238">
        <v>53</v>
      </c>
      <c r="E131" s="178">
        <v>62</v>
      </c>
      <c r="F131" s="178">
        <v>62</v>
      </c>
      <c r="G131" s="178">
        <v>41</v>
      </c>
      <c r="H131" s="178">
        <v>45</v>
      </c>
      <c r="I131" s="178">
        <v>50</v>
      </c>
      <c r="J131" s="178">
        <v>51</v>
      </c>
    </row>
    <row r="132" spans="1:10" ht="12.75">
      <c r="A132" s="196" t="s">
        <v>549</v>
      </c>
      <c r="B132" s="197" t="s">
        <v>18</v>
      </c>
      <c r="C132" s="178">
        <v>213</v>
      </c>
      <c r="D132" s="238">
        <v>213</v>
      </c>
      <c r="E132" s="178">
        <v>212</v>
      </c>
      <c r="F132" s="178">
        <v>212</v>
      </c>
      <c r="G132" s="178">
        <v>217</v>
      </c>
      <c r="H132" s="178">
        <v>170</v>
      </c>
      <c r="I132" s="178">
        <v>152</v>
      </c>
      <c r="J132" s="178">
        <v>110</v>
      </c>
    </row>
    <row r="133" spans="1:10" ht="12.75">
      <c r="A133" s="196" t="s">
        <v>550</v>
      </c>
      <c r="B133" s="197" t="s">
        <v>18</v>
      </c>
      <c r="C133" s="178">
        <v>102</v>
      </c>
      <c r="D133" s="238">
        <v>102</v>
      </c>
      <c r="E133" s="178">
        <v>103</v>
      </c>
      <c r="F133" s="178">
        <v>103</v>
      </c>
      <c r="G133" s="178">
        <v>103</v>
      </c>
      <c r="H133" s="178">
        <v>103</v>
      </c>
      <c r="I133" s="178">
        <v>105</v>
      </c>
      <c r="J133" s="178">
        <v>105</v>
      </c>
    </row>
    <row r="134" spans="1:10" ht="12.75">
      <c r="A134" s="196" t="s">
        <v>551</v>
      </c>
      <c r="B134" s="197" t="s">
        <v>18</v>
      </c>
      <c r="C134" s="178">
        <v>72</v>
      </c>
      <c r="D134" s="238">
        <v>72</v>
      </c>
      <c r="E134" s="178">
        <v>72</v>
      </c>
      <c r="F134" s="178">
        <v>72</v>
      </c>
      <c r="G134" s="178">
        <v>74</v>
      </c>
      <c r="H134" s="178">
        <v>74</v>
      </c>
      <c r="I134" s="178">
        <v>74</v>
      </c>
      <c r="J134" s="178">
        <v>75</v>
      </c>
    </row>
    <row r="135" spans="1:10" ht="12.75">
      <c r="A135" s="196" t="s">
        <v>552</v>
      </c>
      <c r="B135" s="197" t="s">
        <v>18</v>
      </c>
      <c r="C135" s="178">
        <v>260</v>
      </c>
      <c r="D135" s="238">
        <v>260</v>
      </c>
      <c r="E135" s="178">
        <v>235</v>
      </c>
      <c r="F135" s="178">
        <v>235</v>
      </c>
      <c r="G135" s="178">
        <v>230</v>
      </c>
      <c r="H135" s="178">
        <v>230</v>
      </c>
      <c r="I135" s="178">
        <v>230</v>
      </c>
      <c r="J135" s="178">
        <v>230</v>
      </c>
    </row>
    <row r="136" spans="1:10" ht="12.75">
      <c r="A136" s="196" t="s">
        <v>553</v>
      </c>
      <c r="B136" s="174" t="s">
        <v>18</v>
      </c>
      <c r="C136" s="178">
        <v>132</v>
      </c>
      <c r="D136" s="238">
        <v>132</v>
      </c>
      <c r="E136" s="178">
        <v>133</v>
      </c>
      <c r="F136" s="178">
        <v>133</v>
      </c>
      <c r="G136" s="178">
        <v>133</v>
      </c>
      <c r="H136" s="178">
        <v>133</v>
      </c>
      <c r="I136" s="178">
        <v>133</v>
      </c>
      <c r="J136" s="178">
        <v>133</v>
      </c>
    </row>
    <row r="137" spans="1:10" ht="12.75">
      <c r="A137" s="198" t="s">
        <v>76</v>
      </c>
      <c r="B137" s="199" t="s">
        <v>10</v>
      </c>
      <c r="C137" s="200"/>
      <c r="D137" s="201"/>
      <c r="E137" s="200"/>
      <c r="F137" s="200"/>
      <c r="G137" s="200"/>
      <c r="H137" s="200"/>
      <c r="I137" s="200"/>
      <c r="J137" s="200"/>
    </row>
    <row r="138" spans="1:10" ht="12.75">
      <c r="A138" s="95" t="s">
        <v>27</v>
      </c>
      <c r="B138" s="202"/>
      <c r="C138" s="191"/>
      <c r="D138" s="203"/>
      <c r="E138" s="191"/>
      <c r="F138" s="191"/>
      <c r="G138" s="191"/>
      <c r="H138" s="191"/>
      <c r="I138" s="191"/>
      <c r="J138" s="191"/>
    </row>
    <row r="139" spans="1:10" ht="12.75">
      <c r="A139" s="204" t="s">
        <v>23</v>
      </c>
      <c r="B139" s="199"/>
      <c r="C139" s="205">
        <f aca="true" t="shared" si="5" ref="C139:J139">C170/C122*100</f>
        <v>10904.848515769943</v>
      </c>
      <c r="D139" s="205">
        <f t="shared" si="5"/>
        <v>18620.39014404852</v>
      </c>
      <c r="E139" s="205">
        <f t="shared" si="5"/>
        <v>20592.410545640254</v>
      </c>
      <c r="F139" s="205">
        <f t="shared" si="5"/>
        <v>20687.102581923715</v>
      </c>
      <c r="G139" s="205">
        <f t="shared" si="5"/>
        <v>20332.671499360942</v>
      </c>
      <c r="H139" s="205">
        <f t="shared" si="5"/>
        <v>20944.19382813336</v>
      </c>
      <c r="I139" s="205">
        <f t="shared" si="5"/>
        <v>21946.940683684592</v>
      </c>
      <c r="J139" s="205">
        <f t="shared" si="5"/>
        <v>22878.44788855028</v>
      </c>
    </row>
    <row r="140" spans="1:10" ht="12.75">
      <c r="A140" s="206" t="s">
        <v>28</v>
      </c>
      <c r="B140" s="197"/>
      <c r="C140" s="205"/>
      <c r="D140" s="207"/>
      <c r="E140" s="191"/>
      <c r="F140" s="191">
        <f>F139/D139*100</f>
        <v>111.09918976931728</v>
      </c>
      <c r="G140" s="191">
        <f>G139/E139*100</f>
        <v>98.73866614254005</v>
      </c>
      <c r="H140" s="191">
        <f>H139/G139*100</f>
        <v>103.00758475732832</v>
      </c>
      <c r="I140" s="191">
        <f>I139/H139*100</f>
        <v>104.7877080578021</v>
      </c>
      <c r="J140" s="191">
        <f>J139/I139*100</f>
        <v>104.24436015156395</v>
      </c>
    </row>
    <row r="141" spans="1:10" ht="12.75">
      <c r="A141" s="196" t="s">
        <v>540</v>
      </c>
      <c r="B141" s="197" t="s">
        <v>10</v>
      </c>
      <c r="C141" s="191">
        <v>18199</v>
      </c>
      <c r="D141" s="239">
        <v>18199</v>
      </c>
      <c r="E141" s="191">
        <v>19564</v>
      </c>
      <c r="F141" s="191">
        <v>19564</v>
      </c>
      <c r="G141" s="191">
        <v>18841</v>
      </c>
      <c r="H141" s="191">
        <v>17896</v>
      </c>
      <c r="I141" s="191">
        <v>18150</v>
      </c>
      <c r="J141" s="191">
        <v>17712</v>
      </c>
    </row>
    <row r="142" spans="1:10" ht="12.75">
      <c r="A142" s="208" t="s">
        <v>23</v>
      </c>
      <c r="B142" s="197" t="s">
        <v>15</v>
      </c>
      <c r="C142" s="191"/>
      <c r="D142" s="239"/>
      <c r="E142" s="191">
        <f>E141/C141*100</f>
        <v>107.50041211055552</v>
      </c>
      <c r="F142" s="191">
        <f>F141/D141*100</f>
        <v>107.50041211055552</v>
      </c>
      <c r="G142" s="191">
        <f>G141/E141*100</f>
        <v>96.30443672050706</v>
      </c>
      <c r="H142" s="191">
        <f>H141/G141*100</f>
        <v>94.98434265697149</v>
      </c>
      <c r="I142" s="191">
        <f>I141/H141*100</f>
        <v>101.41931157800626</v>
      </c>
      <c r="J142" s="191">
        <f>J141/I141*100</f>
        <v>97.58677685950413</v>
      </c>
    </row>
    <row r="143" spans="1:10" ht="12.75">
      <c r="A143" s="196" t="s">
        <v>541</v>
      </c>
      <c r="B143" s="197" t="s">
        <v>10</v>
      </c>
      <c r="C143" s="191">
        <v>12429</v>
      </c>
      <c r="D143" s="239">
        <v>12429</v>
      </c>
      <c r="E143" s="191">
        <v>11429</v>
      </c>
      <c r="F143" s="191">
        <v>12800</v>
      </c>
      <c r="G143" s="191">
        <v>12800</v>
      </c>
      <c r="H143" s="191">
        <v>13400</v>
      </c>
      <c r="I143" s="191">
        <v>14100</v>
      </c>
      <c r="J143" s="191">
        <v>14800</v>
      </c>
    </row>
    <row r="144" spans="1:10" ht="12.75">
      <c r="A144" s="208" t="s">
        <v>23</v>
      </c>
      <c r="B144" s="197" t="s">
        <v>15</v>
      </c>
      <c r="C144" s="191"/>
      <c r="D144" s="239"/>
      <c r="E144" s="191">
        <f>E143/C143*100</f>
        <v>91.95430042642208</v>
      </c>
      <c r="F144" s="191">
        <f>F143/D143*100</f>
        <v>102.9849545417974</v>
      </c>
      <c r="G144" s="191">
        <f>G143/E143*100</f>
        <v>111.99580015749409</v>
      </c>
      <c r="H144" s="191">
        <f>H143/G143*100</f>
        <v>104.6875</v>
      </c>
      <c r="I144" s="191">
        <f>I143/H143*100</f>
        <v>105.22388059701493</v>
      </c>
      <c r="J144" s="191">
        <f>J143/I143*100</f>
        <v>104.9645390070922</v>
      </c>
    </row>
    <row r="145" spans="1:10" ht="12.75">
      <c r="A145" s="196" t="s">
        <v>542</v>
      </c>
      <c r="B145" s="197" t="s">
        <v>10</v>
      </c>
      <c r="C145" s="191">
        <v>26169</v>
      </c>
      <c r="D145" s="239">
        <v>26169</v>
      </c>
      <c r="E145" s="191">
        <v>30890</v>
      </c>
      <c r="F145" s="191">
        <v>30890</v>
      </c>
      <c r="G145" s="191">
        <v>20100</v>
      </c>
      <c r="H145" s="191">
        <v>20300</v>
      </c>
      <c r="I145" s="191">
        <v>21000</v>
      </c>
      <c r="J145" s="191">
        <v>22000</v>
      </c>
    </row>
    <row r="146" spans="1:10" ht="12.75">
      <c r="A146" s="208" t="s">
        <v>23</v>
      </c>
      <c r="B146" s="197" t="s">
        <v>15</v>
      </c>
      <c r="C146" s="191"/>
      <c r="D146" s="239"/>
      <c r="E146" s="191">
        <f>E145/C145*100</f>
        <v>118.04042951583935</v>
      </c>
      <c r="F146" s="191">
        <f>F145/D145*100</f>
        <v>118.04042951583935</v>
      </c>
      <c r="G146" s="191">
        <f>G145/E145*100</f>
        <v>65.06960181288443</v>
      </c>
      <c r="H146" s="191">
        <f>H145/G145*100</f>
        <v>100.99502487562188</v>
      </c>
      <c r="I146" s="191">
        <f>I145/H145*100</f>
        <v>103.44827586206897</v>
      </c>
      <c r="J146" s="191">
        <f>J145/I145*100</f>
        <v>104.76190476190477</v>
      </c>
    </row>
    <row r="147" spans="1:11" ht="14.25">
      <c r="A147" s="196" t="s">
        <v>543</v>
      </c>
      <c r="B147" s="197" t="s">
        <v>10</v>
      </c>
      <c r="C147" s="191">
        <v>14528</v>
      </c>
      <c r="D147" s="239">
        <v>14528</v>
      </c>
      <c r="E147" s="191">
        <v>16111</v>
      </c>
      <c r="F147" s="191">
        <v>17162</v>
      </c>
      <c r="G147" s="191">
        <v>17162</v>
      </c>
      <c r="H147" s="191">
        <v>17715</v>
      </c>
      <c r="I147" s="191">
        <v>18306</v>
      </c>
      <c r="J147" s="191">
        <v>18306</v>
      </c>
      <c r="K147" s="18"/>
    </row>
    <row r="148" spans="1:11" ht="14.25">
      <c r="A148" s="208" t="s">
        <v>23</v>
      </c>
      <c r="B148" s="197" t="s">
        <v>15</v>
      </c>
      <c r="C148" s="191"/>
      <c r="D148" s="239"/>
      <c r="E148" s="191">
        <f>E147/C147*100</f>
        <v>110.89620044052863</v>
      </c>
      <c r="F148" s="191">
        <f>F147/D147*100</f>
        <v>118.13050660792952</v>
      </c>
      <c r="G148" s="191">
        <f>G147/E147*100</f>
        <v>106.52349326547079</v>
      </c>
      <c r="H148" s="191">
        <f>H147/G147*100</f>
        <v>103.22223517072602</v>
      </c>
      <c r="I148" s="191">
        <f>I147/H147*100</f>
        <v>103.33615580016935</v>
      </c>
      <c r="J148" s="191">
        <f>J147/I147*100</f>
        <v>100</v>
      </c>
      <c r="K148" s="18"/>
    </row>
    <row r="149" spans="1:10" ht="12.75">
      <c r="A149" s="196" t="s">
        <v>544</v>
      </c>
      <c r="B149" s="197" t="s">
        <v>10</v>
      </c>
      <c r="C149" s="191">
        <v>15682</v>
      </c>
      <c r="D149" s="239">
        <v>15682</v>
      </c>
      <c r="E149" s="191">
        <v>15800</v>
      </c>
      <c r="F149" s="191">
        <v>16800</v>
      </c>
      <c r="G149" s="191">
        <v>16800</v>
      </c>
      <c r="H149" s="191">
        <v>17700</v>
      </c>
      <c r="I149" s="191">
        <v>18580</v>
      </c>
      <c r="J149" s="191">
        <v>19510</v>
      </c>
    </row>
    <row r="150" spans="1:10" ht="12.75">
      <c r="A150" s="208" t="s">
        <v>23</v>
      </c>
      <c r="B150" s="197" t="s">
        <v>15</v>
      </c>
      <c r="C150" s="191"/>
      <c r="D150" s="239"/>
      <c r="E150" s="191">
        <f>E149/C149*100</f>
        <v>100.7524550439995</v>
      </c>
      <c r="F150" s="191">
        <f>F149/D149*100</f>
        <v>107.12919270501212</v>
      </c>
      <c r="G150" s="191">
        <f>G149/E149*100</f>
        <v>106.32911392405062</v>
      </c>
      <c r="H150" s="191">
        <f>H149/G149*100</f>
        <v>105.35714285714286</v>
      </c>
      <c r="I150" s="191">
        <f>I149/H149*100</f>
        <v>104.97175141242938</v>
      </c>
      <c r="J150" s="191">
        <f>J149/I149*100</f>
        <v>105.005382131324</v>
      </c>
    </row>
    <row r="151" spans="1:10" ht="12.75">
      <c r="A151" s="196" t="s">
        <v>545</v>
      </c>
      <c r="B151" s="197" t="s">
        <v>10</v>
      </c>
      <c r="C151" s="191">
        <v>19268</v>
      </c>
      <c r="D151" s="239">
        <v>18356</v>
      </c>
      <c r="E151" s="191">
        <v>18356</v>
      </c>
      <c r="F151" s="191">
        <v>18950</v>
      </c>
      <c r="G151" s="191">
        <v>18950</v>
      </c>
      <c r="H151" s="191">
        <v>20270</v>
      </c>
      <c r="I151" s="191">
        <v>21280</v>
      </c>
      <c r="J151" s="191">
        <v>22340</v>
      </c>
    </row>
    <row r="152" spans="1:10" ht="12.75">
      <c r="A152" s="208" t="s">
        <v>23</v>
      </c>
      <c r="B152" s="197" t="s">
        <v>15</v>
      </c>
      <c r="C152" s="191"/>
      <c r="D152" s="239"/>
      <c r="E152" s="191">
        <f>E151/C151*100</f>
        <v>95.26676354577538</v>
      </c>
      <c r="F152" s="191">
        <f>F151/D151*100</f>
        <v>103.2359991283504</v>
      </c>
      <c r="G152" s="191">
        <f>G151/E151*100</f>
        <v>103.2359991283504</v>
      </c>
      <c r="H152" s="191">
        <f>H151/G151*100</f>
        <v>106.96569920844328</v>
      </c>
      <c r="I152" s="191">
        <f>I151/H151*100</f>
        <v>104.98273310310805</v>
      </c>
      <c r="J152" s="191">
        <f>J151/I151*100</f>
        <v>104.98120300751879</v>
      </c>
    </row>
    <row r="153" spans="1:10" ht="12.75">
      <c r="A153" s="196" t="s">
        <v>546</v>
      </c>
      <c r="B153" s="197" t="s">
        <v>10</v>
      </c>
      <c r="C153" s="191">
        <v>12413</v>
      </c>
      <c r="D153" s="239">
        <v>12413</v>
      </c>
      <c r="E153" s="191">
        <v>14041</v>
      </c>
      <c r="F153" s="191">
        <v>14041</v>
      </c>
      <c r="G153" s="191">
        <v>15419</v>
      </c>
      <c r="H153" s="191">
        <v>16057</v>
      </c>
      <c r="I153" s="191">
        <v>16909</v>
      </c>
      <c r="J153" s="191">
        <v>17078</v>
      </c>
    </row>
    <row r="154" spans="1:10" ht="12.75">
      <c r="A154" s="208" t="s">
        <v>23</v>
      </c>
      <c r="B154" s="197" t="s">
        <v>15</v>
      </c>
      <c r="C154" s="191"/>
      <c r="D154" s="239"/>
      <c r="E154" s="191">
        <f>E153/C153*100</f>
        <v>113.11528236526223</v>
      </c>
      <c r="F154" s="191">
        <f>F153/D153*100</f>
        <v>113.11528236526223</v>
      </c>
      <c r="G154" s="191">
        <f>G153/E153*100</f>
        <v>109.8141158037177</v>
      </c>
      <c r="H154" s="191">
        <f>H153/G153*100</f>
        <v>104.13775212400284</v>
      </c>
      <c r="I154" s="191">
        <f>I153/H153*100</f>
        <v>105.306097029333</v>
      </c>
      <c r="J154" s="191">
        <f>J153/I153*100</f>
        <v>100.99946773907386</v>
      </c>
    </row>
    <row r="155" spans="1:10" ht="12.75">
      <c r="A155" s="196" t="s">
        <v>547</v>
      </c>
      <c r="B155" s="197" t="s">
        <v>10</v>
      </c>
      <c r="C155" s="191">
        <v>9349</v>
      </c>
      <c r="D155" s="239">
        <v>9349</v>
      </c>
      <c r="E155" s="191">
        <v>9765</v>
      </c>
      <c r="F155" s="191">
        <v>10419</v>
      </c>
      <c r="G155" s="191">
        <v>10419</v>
      </c>
      <c r="H155" s="191">
        <v>10877</v>
      </c>
      <c r="I155" s="191">
        <v>11356</v>
      </c>
      <c r="J155" s="191">
        <v>11867</v>
      </c>
    </row>
    <row r="156" spans="1:10" ht="12.75">
      <c r="A156" s="208" t="s">
        <v>23</v>
      </c>
      <c r="B156" s="197" t="s">
        <v>15</v>
      </c>
      <c r="C156" s="191"/>
      <c r="D156" s="239"/>
      <c r="E156" s="191">
        <f>E155/C155*100</f>
        <v>104.44967376189966</v>
      </c>
      <c r="F156" s="191">
        <f>F155/D155*100</f>
        <v>111.44507433950155</v>
      </c>
      <c r="G156" s="191">
        <f>G155/E155*100</f>
        <v>106.6973886328725</v>
      </c>
      <c r="H156" s="191">
        <f>H155/G155*100</f>
        <v>104.39581533736444</v>
      </c>
      <c r="I156" s="191">
        <f>I155/H155*100</f>
        <v>104.40378780913855</v>
      </c>
      <c r="J156" s="191">
        <f>J155/I155*100</f>
        <v>104.49982388164847</v>
      </c>
    </row>
    <row r="157" spans="1:10" ht="12.75">
      <c r="A157" s="196" t="s">
        <v>548</v>
      </c>
      <c r="B157" s="197" t="s">
        <v>10</v>
      </c>
      <c r="C157" s="191">
        <v>21481</v>
      </c>
      <c r="D157" s="239">
        <v>21481</v>
      </c>
      <c r="E157" s="191">
        <v>25731</v>
      </c>
      <c r="F157" s="191">
        <v>25731</v>
      </c>
      <c r="G157" s="191">
        <v>19308</v>
      </c>
      <c r="H157" s="191">
        <v>19629</v>
      </c>
      <c r="I157" s="191">
        <v>20000</v>
      </c>
      <c r="J157" s="191">
        <v>22059</v>
      </c>
    </row>
    <row r="158" spans="1:10" ht="12.75">
      <c r="A158" s="208" t="s">
        <v>23</v>
      </c>
      <c r="B158" s="197" t="s">
        <v>15</v>
      </c>
      <c r="C158" s="191"/>
      <c r="D158" s="239"/>
      <c r="E158" s="191">
        <f>E157/C157*100</f>
        <v>119.7849262138634</v>
      </c>
      <c r="F158" s="191">
        <f>F157/D157*100</f>
        <v>119.7849262138634</v>
      </c>
      <c r="G158" s="191">
        <f>G157/E157*100</f>
        <v>75.03789203684272</v>
      </c>
      <c r="H158" s="191">
        <f>H157/G157*100</f>
        <v>101.66252330640148</v>
      </c>
      <c r="I158" s="191">
        <f>I157/H157*100</f>
        <v>101.89006062458607</v>
      </c>
      <c r="J158" s="191">
        <f>J157/I157*100</f>
        <v>110.29500000000002</v>
      </c>
    </row>
    <row r="159" spans="1:10" ht="12.75">
      <c r="A159" s="196" t="s">
        <v>549</v>
      </c>
      <c r="B159" s="197" t="s">
        <v>10</v>
      </c>
      <c r="C159" s="191">
        <v>15205</v>
      </c>
      <c r="D159" s="239">
        <v>15205</v>
      </c>
      <c r="E159" s="191">
        <v>16845</v>
      </c>
      <c r="F159" s="191">
        <v>16845</v>
      </c>
      <c r="G159" s="191">
        <v>16372</v>
      </c>
      <c r="H159" s="191">
        <v>19646</v>
      </c>
      <c r="I159" s="191">
        <v>23575</v>
      </c>
      <c r="J159" s="191">
        <v>33005</v>
      </c>
    </row>
    <row r="160" spans="1:10" ht="12.75">
      <c r="A160" s="208" t="s">
        <v>23</v>
      </c>
      <c r="B160" s="197" t="s">
        <v>15</v>
      </c>
      <c r="C160" s="191"/>
      <c r="D160" s="239"/>
      <c r="E160" s="191">
        <f>E159/C159*100</f>
        <v>110.78592568234133</v>
      </c>
      <c r="F160" s="191">
        <f>F159/D159*100</f>
        <v>110.78592568234133</v>
      </c>
      <c r="G160" s="191">
        <f>G159/E159*100</f>
        <v>97.19204511724547</v>
      </c>
      <c r="H160" s="191">
        <f>H159/G159*100</f>
        <v>119.99755680430002</v>
      </c>
      <c r="I160" s="191">
        <f>I159/H159*100</f>
        <v>119.99898198106484</v>
      </c>
      <c r="J160" s="191">
        <f>J159/I159*100</f>
        <v>140</v>
      </c>
    </row>
    <row r="161" spans="1:10" ht="12.75">
      <c r="A161" s="196" t="s">
        <v>550</v>
      </c>
      <c r="B161" s="197" t="s">
        <v>10</v>
      </c>
      <c r="C161" s="191">
        <v>15600</v>
      </c>
      <c r="D161" s="239">
        <v>15600</v>
      </c>
      <c r="E161" s="191">
        <v>17300</v>
      </c>
      <c r="F161" s="191">
        <v>17300</v>
      </c>
      <c r="G161" s="191">
        <v>20300</v>
      </c>
      <c r="H161" s="191">
        <v>21900</v>
      </c>
      <c r="I161" s="191">
        <v>23100</v>
      </c>
      <c r="J161" s="191">
        <v>26100</v>
      </c>
    </row>
    <row r="162" spans="1:10" ht="12.75">
      <c r="A162" s="208" t="s">
        <v>23</v>
      </c>
      <c r="B162" s="197" t="s">
        <v>15</v>
      </c>
      <c r="C162" s="191"/>
      <c r="D162" s="239"/>
      <c r="E162" s="191">
        <f>E161/C161*100</f>
        <v>110.8974358974359</v>
      </c>
      <c r="F162" s="191">
        <f>F161/D161*100</f>
        <v>110.8974358974359</v>
      </c>
      <c r="G162" s="191">
        <f>G161/E161*100</f>
        <v>117.34104046242774</v>
      </c>
      <c r="H162" s="191">
        <f>H161/G161*100</f>
        <v>107.88177339901478</v>
      </c>
      <c r="I162" s="191">
        <f>I161/H161*100</f>
        <v>105.47945205479452</v>
      </c>
      <c r="J162" s="191">
        <f>J161/I161*100</f>
        <v>112.98701298701299</v>
      </c>
    </row>
    <row r="163" spans="1:10" ht="12.75">
      <c r="A163" s="196" t="s">
        <v>551</v>
      </c>
      <c r="B163" s="197" t="s">
        <v>10</v>
      </c>
      <c r="C163" s="191">
        <v>14460</v>
      </c>
      <c r="D163" s="239">
        <v>14460</v>
      </c>
      <c r="E163" s="191">
        <v>13690</v>
      </c>
      <c r="F163" s="191">
        <v>13690</v>
      </c>
      <c r="G163" s="191">
        <v>14300</v>
      </c>
      <c r="H163" s="191">
        <v>14800</v>
      </c>
      <c r="I163" s="191">
        <v>15200</v>
      </c>
      <c r="J163" s="191">
        <v>15500</v>
      </c>
    </row>
    <row r="164" spans="1:10" ht="12.75">
      <c r="A164" s="208" t="s">
        <v>23</v>
      </c>
      <c r="B164" s="197" t="s">
        <v>15</v>
      </c>
      <c r="C164" s="191"/>
      <c r="D164" s="239"/>
      <c r="E164" s="191">
        <f>E163/C163*100</f>
        <v>94.67496542185339</v>
      </c>
      <c r="F164" s="191">
        <f>F163/D163*100</f>
        <v>94.67496542185339</v>
      </c>
      <c r="G164" s="191">
        <f>G163/E163*100</f>
        <v>104.45580715850986</v>
      </c>
      <c r="H164" s="191">
        <f>H163/G163*100</f>
        <v>103.4965034965035</v>
      </c>
      <c r="I164" s="191">
        <f>I163/H163*100</f>
        <v>102.7027027027027</v>
      </c>
      <c r="J164" s="191">
        <f>J163/I163*100</f>
        <v>101.9736842105263</v>
      </c>
    </row>
    <row r="165" spans="1:10" ht="12.75">
      <c r="A165" s="206" t="s">
        <v>552</v>
      </c>
      <c r="B165" s="197" t="s">
        <v>10</v>
      </c>
      <c r="C165" s="191">
        <v>12040</v>
      </c>
      <c r="D165" s="239">
        <v>12040</v>
      </c>
      <c r="E165" s="191">
        <v>13334</v>
      </c>
      <c r="F165" s="191">
        <v>13334</v>
      </c>
      <c r="G165" s="191">
        <v>13720</v>
      </c>
      <c r="H165" s="191">
        <v>14160</v>
      </c>
      <c r="I165" s="191">
        <v>14730</v>
      </c>
      <c r="J165" s="191">
        <v>15400</v>
      </c>
    </row>
    <row r="166" spans="1:10" ht="12.75">
      <c r="A166" s="208" t="s">
        <v>23</v>
      </c>
      <c r="B166" s="197" t="s">
        <v>15</v>
      </c>
      <c r="C166" s="191"/>
      <c r="D166" s="239"/>
      <c r="E166" s="191">
        <f>E165/C165*100</f>
        <v>110.74750830564784</v>
      </c>
      <c r="F166" s="191">
        <f>F165/D165*100</f>
        <v>110.74750830564784</v>
      </c>
      <c r="G166" s="191">
        <f>G165/E165*100</f>
        <v>102.89485525723714</v>
      </c>
      <c r="H166" s="191">
        <f>H165/G165*100</f>
        <v>103.2069970845481</v>
      </c>
      <c r="I166" s="191">
        <f>I165/H165*100</f>
        <v>104.02542372881356</v>
      </c>
      <c r="J166" s="191">
        <f>J165/I165*100</f>
        <v>104.54854039375425</v>
      </c>
    </row>
    <row r="167" spans="1:10" ht="12.75">
      <c r="A167" s="196" t="s">
        <v>553</v>
      </c>
      <c r="B167" s="197" t="s">
        <v>10</v>
      </c>
      <c r="C167" s="191">
        <v>16911</v>
      </c>
      <c r="D167" s="239">
        <v>16911</v>
      </c>
      <c r="E167" s="191">
        <v>26983</v>
      </c>
      <c r="F167" s="191">
        <v>22103</v>
      </c>
      <c r="G167" s="191">
        <v>22103</v>
      </c>
      <c r="H167" s="191">
        <v>22103</v>
      </c>
      <c r="I167" s="191">
        <v>24313</v>
      </c>
      <c r="J167" s="191">
        <v>26745</v>
      </c>
    </row>
    <row r="168" spans="1:10" ht="13.5" thickBot="1">
      <c r="A168" s="208" t="s">
        <v>23</v>
      </c>
      <c r="B168" s="197" t="s">
        <v>15</v>
      </c>
      <c r="C168" s="191"/>
      <c r="D168" s="239"/>
      <c r="E168" s="191">
        <f>E167/C167*100</f>
        <v>159.5588670096387</v>
      </c>
      <c r="F168" s="191">
        <f>F167/D167*100</f>
        <v>130.70190999940868</v>
      </c>
      <c r="G168" s="191">
        <f>G167/E167*100</f>
        <v>81.91453878367861</v>
      </c>
      <c r="H168" s="191">
        <f>H167/G167*100</f>
        <v>100</v>
      </c>
      <c r="I168" s="191">
        <f>I167/H167*100</f>
        <v>109.99864271818305</v>
      </c>
      <c r="J168" s="191">
        <f>J167/I167*100</f>
        <v>110.00287911816724</v>
      </c>
    </row>
    <row r="169" spans="1:10" ht="12.75">
      <c r="A169" s="209"/>
      <c r="B169" s="209"/>
      <c r="C169" s="210"/>
      <c r="D169" s="211"/>
      <c r="E169" s="211"/>
      <c r="F169" s="211"/>
      <c r="G169" s="211"/>
      <c r="H169" s="211"/>
      <c r="I169" s="211"/>
      <c r="J169" s="211"/>
    </row>
    <row r="170" spans="1:10" ht="13.5" thickBot="1">
      <c r="A170" s="212" t="s">
        <v>26</v>
      </c>
      <c r="B170" s="213" t="s">
        <v>11</v>
      </c>
      <c r="C170" s="214">
        <f aca="true" t="shared" si="6" ref="C170:J170">C173+C174+C175+C176+C177+C178+C179+C180+C182+C183+C184+C185+C186</f>
        <v>470217.06799999997</v>
      </c>
      <c r="D170" s="214">
        <f t="shared" si="6"/>
        <v>491205.89199999993</v>
      </c>
      <c r="E170" s="214">
        <f t="shared" si="6"/>
        <v>524900.5448083701</v>
      </c>
      <c r="F170" s="214">
        <f t="shared" si="6"/>
        <v>517798.17762555054</v>
      </c>
      <c r="G170" s="214">
        <f t="shared" si="6"/>
        <v>498150.4517343431</v>
      </c>
      <c r="H170" s="214">
        <f t="shared" si="6"/>
        <v>499937.90667754336</v>
      </c>
      <c r="I170" s="214">
        <f t="shared" si="6"/>
        <v>512680.5343708721</v>
      </c>
      <c r="J170" s="214">
        <f t="shared" si="6"/>
        <v>525517.948</v>
      </c>
    </row>
    <row r="171" spans="1:10" ht="12.75">
      <c r="A171" s="215" t="s">
        <v>28</v>
      </c>
      <c r="B171" s="215"/>
      <c r="C171" s="170"/>
      <c r="D171" s="193"/>
      <c r="E171" s="193"/>
      <c r="F171" s="193"/>
      <c r="G171" s="193"/>
      <c r="H171" s="193"/>
      <c r="I171" s="193"/>
      <c r="J171" s="193"/>
    </row>
    <row r="172" spans="1:10" ht="12.75">
      <c r="A172" s="194" t="s">
        <v>22</v>
      </c>
      <c r="B172" s="195" t="s">
        <v>11</v>
      </c>
      <c r="C172" s="170"/>
      <c r="D172" s="216"/>
      <c r="E172" s="193"/>
      <c r="F172" s="193"/>
      <c r="G172" s="193"/>
      <c r="H172" s="193"/>
      <c r="I172" s="193"/>
      <c r="J172" s="193"/>
    </row>
    <row r="173" spans="1:10" ht="12.75">
      <c r="A173" s="196" t="s">
        <v>540</v>
      </c>
      <c r="B173" s="197" t="s">
        <v>11</v>
      </c>
      <c r="C173" s="217">
        <f aca="true" t="shared" si="7" ref="C173:J173">C123*C141*12/1000</f>
        <v>30574.32</v>
      </c>
      <c r="D173" s="217">
        <f t="shared" si="7"/>
        <v>76435.8</v>
      </c>
      <c r="E173" s="217">
        <f t="shared" si="7"/>
        <v>82168.8</v>
      </c>
      <c r="F173" s="217">
        <f t="shared" si="7"/>
        <v>80760.192</v>
      </c>
      <c r="G173" s="217">
        <f t="shared" si="7"/>
        <v>75966.912</v>
      </c>
      <c r="H173" s="217">
        <f t="shared" si="7"/>
        <v>72156.672</v>
      </c>
      <c r="I173" s="217">
        <f t="shared" si="7"/>
        <v>69696</v>
      </c>
      <c r="J173" s="217">
        <f t="shared" si="7"/>
        <v>70139.52</v>
      </c>
    </row>
    <row r="174" spans="1:10" ht="12.75">
      <c r="A174" s="196" t="s">
        <v>541</v>
      </c>
      <c r="B174" s="197" t="s">
        <v>11</v>
      </c>
      <c r="C174" s="217">
        <f aca="true" t="shared" si="8" ref="C174:J174">C124*C141*12/1000</f>
        <v>32539.812</v>
      </c>
      <c r="D174" s="217">
        <f t="shared" si="8"/>
        <v>32539.812</v>
      </c>
      <c r="E174" s="217">
        <f t="shared" si="8"/>
        <v>36389.04</v>
      </c>
      <c r="F174" s="217">
        <f t="shared" si="8"/>
        <v>36389.04</v>
      </c>
      <c r="G174" s="217">
        <f t="shared" si="8"/>
        <v>33913.8</v>
      </c>
      <c r="H174" s="217">
        <f t="shared" si="8"/>
        <v>32212.8</v>
      </c>
      <c r="I174" s="217">
        <f t="shared" si="8"/>
        <v>32670</v>
      </c>
      <c r="J174" s="217">
        <f t="shared" si="8"/>
        <v>31881.6</v>
      </c>
    </row>
    <row r="175" spans="1:10" ht="12.75">
      <c r="A175" s="196" t="s">
        <v>542</v>
      </c>
      <c r="B175" s="197" t="s">
        <v>11</v>
      </c>
      <c r="C175" s="217">
        <f aca="true" t="shared" si="9" ref="C175:J175">C145*C125*12/1000</f>
        <v>27948.492</v>
      </c>
      <c r="D175" s="217">
        <f t="shared" si="9"/>
        <v>27948.492</v>
      </c>
      <c r="E175" s="217">
        <f t="shared" si="9"/>
        <v>31878.48</v>
      </c>
      <c r="F175" s="217">
        <f t="shared" si="9"/>
        <v>31878.48</v>
      </c>
      <c r="G175" s="217">
        <f t="shared" si="9"/>
        <v>21708</v>
      </c>
      <c r="H175" s="217">
        <f t="shared" si="9"/>
        <v>21924</v>
      </c>
      <c r="I175" s="217">
        <f t="shared" si="9"/>
        <v>21420</v>
      </c>
      <c r="J175" s="217">
        <f t="shared" si="9"/>
        <v>22176</v>
      </c>
    </row>
    <row r="176" spans="1:10" ht="12.75">
      <c r="A176" s="196" t="s">
        <v>543</v>
      </c>
      <c r="B176" s="197" t="s">
        <v>11</v>
      </c>
      <c r="C176" s="178">
        <f aca="true" t="shared" si="10" ref="C176:J176">C147*C126*12/1000</f>
        <v>64678.656</v>
      </c>
      <c r="D176" s="178">
        <f t="shared" si="10"/>
        <v>64678.656</v>
      </c>
      <c r="E176" s="178">
        <f t="shared" si="10"/>
        <v>65926.212</v>
      </c>
      <c r="F176" s="178">
        <f t="shared" si="10"/>
        <v>70226.904</v>
      </c>
      <c r="G176" s="178">
        <f t="shared" si="10"/>
        <v>65902.08</v>
      </c>
      <c r="H176" s="178">
        <f t="shared" si="10"/>
        <v>65899.8</v>
      </c>
      <c r="I176" s="178">
        <f t="shared" si="10"/>
        <v>65901.6</v>
      </c>
      <c r="J176" s="178">
        <f t="shared" si="10"/>
        <v>65901.6</v>
      </c>
    </row>
    <row r="177" spans="1:10" ht="12.75">
      <c r="A177" s="196" t="s">
        <v>544</v>
      </c>
      <c r="B177" s="197" t="s">
        <v>11</v>
      </c>
      <c r="C177" s="178">
        <f aca="true" t="shared" si="11" ref="C177:J177">C149*C127*12/1000</f>
        <v>28227.6</v>
      </c>
      <c r="D177" s="178">
        <f t="shared" si="11"/>
        <v>28227.6</v>
      </c>
      <c r="E177" s="178">
        <f t="shared" si="11"/>
        <v>23510.4</v>
      </c>
      <c r="F177" s="178">
        <f t="shared" si="11"/>
        <v>24998.4</v>
      </c>
      <c r="G177" s="178">
        <f t="shared" si="11"/>
        <v>25200</v>
      </c>
      <c r="H177" s="178">
        <f t="shared" si="11"/>
        <v>26550</v>
      </c>
      <c r="I177" s="178">
        <f t="shared" si="11"/>
        <v>27870</v>
      </c>
      <c r="J177" s="178">
        <f t="shared" si="11"/>
        <v>29265</v>
      </c>
    </row>
    <row r="178" spans="1:10" ht="12.75">
      <c r="A178" s="196" t="s">
        <v>545</v>
      </c>
      <c r="B178" s="197" t="s">
        <v>11</v>
      </c>
      <c r="C178" s="217">
        <v>97575</v>
      </c>
      <c r="D178" s="217">
        <v>90310</v>
      </c>
      <c r="E178" s="217">
        <v>90310</v>
      </c>
      <c r="F178" s="217">
        <v>84138</v>
      </c>
      <c r="G178" s="217">
        <v>84138</v>
      </c>
      <c r="H178" s="217">
        <v>89999</v>
      </c>
      <c r="I178" s="217">
        <v>94483</v>
      </c>
      <c r="J178" s="217">
        <v>99190</v>
      </c>
    </row>
    <row r="179" spans="1:10" ht="12.75">
      <c r="A179" s="196" t="s">
        <v>546</v>
      </c>
      <c r="B179" s="197" t="s">
        <v>11</v>
      </c>
      <c r="C179" s="217">
        <v>40097</v>
      </c>
      <c r="D179" s="217">
        <f aca="true" t="shared" si="12" ref="D179:J180">D129*D147*12/1000</f>
        <v>36261.888</v>
      </c>
      <c r="E179" s="217">
        <f t="shared" si="12"/>
        <v>37893.072</v>
      </c>
      <c r="F179" s="217">
        <f t="shared" si="12"/>
        <v>40365.024</v>
      </c>
      <c r="G179" s="217">
        <f t="shared" si="12"/>
        <v>39335.304</v>
      </c>
      <c r="H179" s="217">
        <f t="shared" si="12"/>
        <v>38476.98</v>
      </c>
      <c r="I179" s="217">
        <f t="shared" si="12"/>
        <v>37783.584</v>
      </c>
      <c r="J179" s="217">
        <f t="shared" si="12"/>
        <v>36026.208</v>
      </c>
    </row>
    <row r="180" spans="1:12" ht="15.75">
      <c r="A180" s="196" t="s">
        <v>547</v>
      </c>
      <c r="B180" s="197" t="s">
        <v>11</v>
      </c>
      <c r="C180" s="217">
        <f>C130*C147*12/1000</f>
        <v>13772.544</v>
      </c>
      <c r="D180" s="217">
        <f t="shared" si="12"/>
        <v>0</v>
      </c>
      <c r="E180" s="217">
        <f t="shared" si="12"/>
        <v>93.15280837004404</v>
      </c>
      <c r="F180" s="217">
        <f t="shared" si="12"/>
        <v>99.2296255506608</v>
      </c>
      <c r="G180" s="217">
        <f t="shared" si="12"/>
        <v>89.47973434299546</v>
      </c>
      <c r="H180" s="217">
        <f t="shared" si="12"/>
        <v>86.70667754340985</v>
      </c>
      <c r="I180" s="217">
        <f t="shared" si="12"/>
        <v>86.80237087214226</v>
      </c>
      <c r="J180" s="217">
        <f t="shared" si="12"/>
        <v>84</v>
      </c>
      <c r="K180" s="109"/>
      <c r="L180" s="109"/>
    </row>
    <row r="181" spans="1:12" ht="15.75">
      <c r="A181" s="196" t="s">
        <v>548</v>
      </c>
      <c r="B181" s="197" t="s">
        <v>11</v>
      </c>
      <c r="C181" s="217">
        <f aca="true" t="shared" si="13" ref="C181:J181">C131*C157*12/1000</f>
        <v>13661.916</v>
      </c>
      <c r="D181" s="217">
        <f t="shared" si="13"/>
        <v>13661.916</v>
      </c>
      <c r="E181" s="217">
        <f t="shared" si="13"/>
        <v>19143.864</v>
      </c>
      <c r="F181" s="217">
        <f t="shared" si="13"/>
        <v>19143.864</v>
      </c>
      <c r="G181" s="217">
        <f t="shared" si="13"/>
        <v>9499.536</v>
      </c>
      <c r="H181" s="217">
        <f t="shared" si="13"/>
        <v>10599.66</v>
      </c>
      <c r="I181" s="217">
        <f t="shared" si="13"/>
        <v>12000</v>
      </c>
      <c r="J181" s="217">
        <f t="shared" si="13"/>
        <v>13500.108</v>
      </c>
      <c r="K181" s="109"/>
      <c r="L181" s="109"/>
    </row>
    <row r="182" spans="1:12" ht="15.75">
      <c r="A182" s="196" t="s">
        <v>549</v>
      </c>
      <c r="B182" s="197" t="s">
        <v>11</v>
      </c>
      <c r="C182" s="217">
        <f aca="true" t="shared" si="14" ref="C182:J182">C159*C132*12/1000</f>
        <v>38863.98</v>
      </c>
      <c r="D182" s="217">
        <f t="shared" si="14"/>
        <v>38863.98</v>
      </c>
      <c r="E182" s="217">
        <f t="shared" si="14"/>
        <v>42853.68</v>
      </c>
      <c r="F182" s="217">
        <f t="shared" si="14"/>
        <v>42853.68</v>
      </c>
      <c r="G182" s="217">
        <f t="shared" si="14"/>
        <v>42632.688</v>
      </c>
      <c r="H182" s="217">
        <f t="shared" si="14"/>
        <v>40077.84</v>
      </c>
      <c r="I182" s="217">
        <f t="shared" si="14"/>
        <v>43000.8</v>
      </c>
      <c r="J182" s="217">
        <f t="shared" si="14"/>
        <v>43566.6</v>
      </c>
      <c r="K182" s="109"/>
      <c r="L182" s="109"/>
    </row>
    <row r="183" spans="1:12" ht="15.75">
      <c r="A183" s="196" t="s">
        <v>550</v>
      </c>
      <c r="B183" s="197" t="s">
        <v>11</v>
      </c>
      <c r="C183" s="217">
        <f>C133*C161*12/1000</f>
        <v>19094.4</v>
      </c>
      <c r="D183" s="217">
        <f>D133*D161*12/1000</f>
        <v>19094.4</v>
      </c>
      <c r="E183" s="217">
        <f>E133*E161*12/1000</f>
        <v>21382.8</v>
      </c>
      <c r="F183" s="217">
        <f>F133*F161*12/1000</f>
        <v>21382.8</v>
      </c>
      <c r="G183" s="217">
        <f>G133*G151*12/1000</f>
        <v>23422.2</v>
      </c>
      <c r="H183" s="217">
        <f>H133*H151*12/1000</f>
        <v>25053.72</v>
      </c>
      <c r="I183" s="217">
        <f>I133*I151*12/1000</f>
        <v>26812.8</v>
      </c>
      <c r="J183" s="217">
        <f>J133*J151*12/1000</f>
        <v>28148.4</v>
      </c>
      <c r="K183" s="109"/>
      <c r="L183" s="109"/>
    </row>
    <row r="184" spans="1:12" ht="15.75">
      <c r="A184" s="196" t="s">
        <v>551</v>
      </c>
      <c r="B184" s="197" t="s">
        <v>11</v>
      </c>
      <c r="C184" s="217">
        <f aca="true" t="shared" si="15" ref="C184:J184">C163*C134*12/1000</f>
        <v>12493.44</v>
      </c>
      <c r="D184" s="217">
        <f t="shared" si="15"/>
        <v>12493.44</v>
      </c>
      <c r="E184" s="217">
        <f t="shared" si="15"/>
        <v>11828.16</v>
      </c>
      <c r="F184" s="217">
        <f t="shared" si="15"/>
        <v>11828.16</v>
      </c>
      <c r="G184" s="217">
        <f t="shared" si="15"/>
        <v>12698.4</v>
      </c>
      <c r="H184" s="217">
        <f t="shared" si="15"/>
        <v>13142.4</v>
      </c>
      <c r="I184" s="217">
        <f t="shared" si="15"/>
        <v>13497.6</v>
      </c>
      <c r="J184" s="217">
        <f t="shared" si="15"/>
        <v>13950</v>
      </c>
      <c r="K184" s="109"/>
      <c r="L184" s="109"/>
    </row>
    <row r="185" spans="1:12" ht="15.75">
      <c r="A185" s="206" t="s">
        <v>552</v>
      </c>
      <c r="B185" s="197" t="s">
        <v>11</v>
      </c>
      <c r="C185" s="178">
        <f aca="true" t="shared" si="16" ref="C185:J185">C165*C135*12/1000</f>
        <v>37564.8</v>
      </c>
      <c r="D185" s="178">
        <f t="shared" si="16"/>
        <v>37564.8</v>
      </c>
      <c r="E185" s="178">
        <f t="shared" si="16"/>
        <v>37601.88</v>
      </c>
      <c r="F185" s="178">
        <f t="shared" si="16"/>
        <v>37601.88</v>
      </c>
      <c r="G185" s="178">
        <f t="shared" si="16"/>
        <v>37867.2</v>
      </c>
      <c r="H185" s="178">
        <f t="shared" si="16"/>
        <v>39081.6</v>
      </c>
      <c r="I185" s="178">
        <f t="shared" si="16"/>
        <v>40654.8</v>
      </c>
      <c r="J185" s="178">
        <f t="shared" si="16"/>
        <v>42504</v>
      </c>
      <c r="K185" s="109"/>
      <c r="L185" s="109"/>
    </row>
    <row r="186" spans="1:12" ht="15.75">
      <c r="A186" s="196" t="s">
        <v>553</v>
      </c>
      <c r="B186" s="197" t="s">
        <v>11</v>
      </c>
      <c r="C186" s="217">
        <f aca="true" t="shared" si="17" ref="C186:J186">C136*C167*12/1000</f>
        <v>26787.024</v>
      </c>
      <c r="D186" s="217">
        <f t="shared" si="17"/>
        <v>26787.024</v>
      </c>
      <c r="E186" s="217">
        <f t="shared" si="17"/>
        <v>43064.868</v>
      </c>
      <c r="F186" s="217">
        <f t="shared" si="17"/>
        <v>35276.388</v>
      </c>
      <c r="G186" s="217">
        <f t="shared" si="17"/>
        <v>35276.388</v>
      </c>
      <c r="H186" s="217">
        <f t="shared" si="17"/>
        <v>35276.388</v>
      </c>
      <c r="I186" s="217">
        <f t="shared" si="17"/>
        <v>38803.548</v>
      </c>
      <c r="J186" s="217">
        <f t="shared" si="17"/>
        <v>42685.02</v>
      </c>
      <c r="K186" s="109"/>
      <c r="L186" s="109"/>
    </row>
    <row r="187" spans="1:12" ht="15.75">
      <c r="A187" s="5"/>
      <c r="B187" s="5"/>
      <c r="C187" s="36"/>
      <c r="D187" s="36"/>
      <c r="E187" s="36"/>
      <c r="F187" s="36"/>
      <c r="G187" s="36"/>
      <c r="H187" s="36"/>
      <c r="I187" s="36"/>
      <c r="J187" s="36"/>
      <c r="K187" s="109"/>
      <c r="L187" s="109"/>
    </row>
    <row r="188" spans="1:12" ht="15.75">
      <c r="A188" s="5"/>
      <c r="B188" s="93"/>
      <c r="C188" s="52"/>
      <c r="D188" s="52"/>
      <c r="E188" s="52"/>
      <c r="F188" s="52"/>
      <c r="G188" s="52"/>
      <c r="H188" s="36"/>
      <c r="I188" s="149" t="s">
        <v>67</v>
      </c>
      <c r="J188" s="36"/>
      <c r="K188" s="109"/>
      <c r="L188" s="109"/>
    </row>
    <row r="189" spans="1:12" ht="15.75">
      <c r="A189" s="5"/>
      <c r="B189" s="129" t="s">
        <v>68</v>
      </c>
      <c r="C189" s="130"/>
      <c r="D189" s="130"/>
      <c r="E189" s="130"/>
      <c r="F189" s="130"/>
      <c r="G189" s="130"/>
      <c r="H189" s="131"/>
      <c r="I189" s="36"/>
      <c r="J189" s="36"/>
      <c r="K189" s="109"/>
      <c r="L189" s="109"/>
    </row>
    <row r="190" spans="1:12" ht="15.75">
      <c r="A190" s="5"/>
      <c r="B190" s="129" t="s">
        <v>31</v>
      </c>
      <c r="C190" s="130"/>
      <c r="D190" s="130"/>
      <c r="E190" s="130"/>
      <c r="F190" s="130"/>
      <c r="G190" s="130"/>
      <c r="H190" s="131"/>
      <c r="I190" s="36"/>
      <c r="J190" s="36"/>
      <c r="K190" s="109"/>
      <c r="L190" s="109"/>
    </row>
    <row r="191" spans="1:12" ht="16.5" thickBot="1">
      <c r="A191" s="111"/>
      <c r="B191" s="5"/>
      <c r="C191" s="36"/>
      <c r="D191" s="36"/>
      <c r="E191" s="36"/>
      <c r="F191" s="36"/>
      <c r="G191" s="36"/>
      <c r="H191" s="36"/>
      <c r="I191" s="36"/>
      <c r="J191" s="36"/>
      <c r="K191" s="109"/>
      <c r="L191" s="109"/>
    </row>
    <row r="192" spans="1:12" ht="16.5" thickBot="1">
      <c r="A192" s="12"/>
      <c r="B192" s="7" t="s">
        <v>14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1</v>
      </c>
      <c r="H192" s="8"/>
      <c r="I192" s="9" t="s">
        <v>5</v>
      </c>
      <c r="J192" s="10"/>
      <c r="K192" s="109"/>
      <c r="L192" s="109"/>
    </row>
    <row r="193" spans="1:12" ht="15.75">
      <c r="A193" s="3" t="s">
        <v>2</v>
      </c>
      <c r="B193" s="3" t="s">
        <v>12</v>
      </c>
      <c r="C193" s="3" t="s">
        <v>504</v>
      </c>
      <c r="D193" s="102" t="s">
        <v>78</v>
      </c>
      <c r="E193" s="3" t="s">
        <v>505</v>
      </c>
      <c r="F193" s="102" t="s">
        <v>78</v>
      </c>
      <c r="G193" s="3" t="s">
        <v>506</v>
      </c>
      <c r="H193" s="3" t="s">
        <v>507</v>
      </c>
      <c r="I193" s="3" t="s">
        <v>516</v>
      </c>
      <c r="J193" s="3" t="s">
        <v>539</v>
      </c>
      <c r="K193" s="109"/>
      <c r="L193" s="109"/>
    </row>
    <row r="194" spans="1:12" ht="16.5" thickBot="1">
      <c r="A194" s="3"/>
      <c r="B194" s="4" t="s">
        <v>13</v>
      </c>
      <c r="C194" s="104" t="s">
        <v>17</v>
      </c>
      <c r="D194" s="104" t="s">
        <v>505</v>
      </c>
      <c r="E194" s="104" t="s">
        <v>17</v>
      </c>
      <c r="F194" s="104" t="s">
        <v>506</v>
      </c>
      <c r="G194" s="106"/>
      <c r="H194" s="107"/>
      <c r="I194" s="6"/>
      <c r="J194" s="6"/>
      <c r="K194" s="109"/>
      <c r="L194" s="109"/>
    </row>
    <row r="195" spans="1:12" ht="16.5" thickBot="1">
      <c r="A195" s="1"/>
      <c r="B195" s="1"/>
      <c r="C195" s="67"/>
      <c r="D195" s="58"/>
      <c r="E195" s="37"/>
      <c r="F195" s="37"/>
      <c r="G195" s="37"/>
      <c r="H195" s="37"/>
      <c r="I195" s="37"/>
      <c r="J195" s="37"/>
      <c r="K195" s="109"/>
      <c r="L195" s="109"/>
    </row>
    <row r="196" spans="1:12" ht="15.75">
      <c r="A196" s="241" t="s">
        <v>21</v>
      </c>
      <c r="B196" s="242"/>
      <c r="C196" s="243"/>
      <c r="D196" s="244"/>
      <c r="E196" s="243"/>
      <c r="F196" s="243"/>
      <c r="G196" s="243"/>
      <c r="H196" s="243"/>
      <c r="I196" s="243"/>
      <c r="J196" s="243"/>
      <c r="K196" s="109"/>
      <c r="L196" s="109"/>
    </row>
    <row r="197" spans="1:12" ht="16.5" thickBot="1">
      <c r="A197" s="245" t="s">
        <v>33</v>
      </c>
      <c r="B197" s="246" t="s">
        <v>18</v>
      </c>
      <c r="C197" s="247">
        <f aca="true" t="shared" si="18" ref="C197:J197">C199+C200+C201+C202+C203+C204+C205+C206+C207+C208+C209</f>
        <v>22961</v>
      </c>
      <c r="D197" s="247">
        <f t="shared" si="18"/>
        <v>22898</v>
      </c>
      <c r="E197" s="247">
        <f t="shared" si="18"/>
        <v>22529</v>
      </c>
      <c r="F197" s="247">
        <f t="shared" si="18"/>
        <v>22528</v>
      </c>
      <c r="G197" s="247">
        <f t="shared" si="18"/>
        <v>22472</v>
      </c>
      <c r="H197" s="247">
        <f t="shared" si="18"/>
        <v>22445</v>
      </c>
      <c r="I197" s="247">
        <f t="shared" si="18"/>
        <v>22439</v>
      </c>
      <c r="J197" s="247">
        <f t="shared" si="18"/>
        <v>22435</v>
      </c>
      <c r="K197" s="109"/>
      <c r="L197" s="109"/>
    </row>
    <row r="198" spans="1:12" ht="26.25" customHeight="1">
      <c r="A198" s="248" t="s">
        <v>538</v>
      </c>
      <c r="B198" s="249"/>
      <c r="C198" s="243"/>
      <c r="D198" s="243"/>
      <c r="E198" s="243"/>
      <c r="F198" s="243"/>
      <c r="G198" s="243"/>
      <c r="H198" s="243"/>
      <c r="I198" s="243"/>
      <c r="J198" s="243"/>
      <c r="K198" s="109"/>
      <c r="L198" s="109"/>
    </row>
    <row r="199" spans="1:12" ht="16.5" thickBot="1">
      <c r="A199" s="250" t="s">
        <v>555</v>
      </c>
      <c r="B199" s="251" t="s">
        <v>18</v>
      </c>
      <c r="C199" s="243">
        <v>694</v>
      </c>
      <c r="D199" s="243">
        <v>694</v>
      </c>
      <c r="E199" s="243">
        <v>653</v>
      </c>
      <c r="F199" s="243">
        <v>653</v>
      </c>
      <c r="G199" s="243">
        <f aca="true" t="shared" si="19" ref="G199:G206">F199-2</f>
        <v>651</v>
      </c>
      <c r="H199" s="243">
        <f>G199-2+1</f>
        <v>650</v>
      </c>
      <c r="I199" s="243">
        <f>G199-1</f>
        <v>650</v>
      </c>
      <c r="J199" s="243">
        <f>H199-1</f>
        <v>649</v>
      </c>
      <c r="K199" s="109"/>
      <c r="L199" s="109"/>
    </row>
    <row r="200" spans="1:12" ht="16.5" thickBot="1">
      <c r="A200" s="250" t="s">
        <v>556</v>
      </c>
      <c r="B200" s="251" t="s">
        <v>18</v>
      </c>
      <c r="C200" s="243">
        <v>1989</v>
      </c>
      <c r="D200" s="243">
        <v>1982</v>
      </c>
      <c r="E200" s="243">
        <v>2143</v>
      </c>
      <c r="F200" s="243">
        <v>2143</v>
      </c>
      <c r="G200" s="243">
        <f t="shared" si="19"/>
        <v>2141</v>
      </c>
      <c r="H200" s="243">
        <f>G200-2-7</f>
        <v>2132</v>
      </c>
      <c r="I200" s="243">
        <f>G200-10</f>
        <v>2131</v>
      </c>
      <c r="J200" s="243">
        <f>H200-5</f>
        <v>2127</v>
      </c>
      <c r="K200" s="109"/>
      <c r="L200" s="109"/>
    </row>
    <row r="201" spans="1:12" ht="16.5" thickBot="1">
      <c r="A201" s="250" t="s">
        <v>557</v>
      </c>
      <c r="B201" s="251" t="s">
        <v>18</v>
      </c>
      <c r="C201" s="243">
        <v>598</v>
      </c>
      <c r="D201" s="243">
        <v>598</v>
      </c>
      <c r="E201" s="243">
        <v>573</v>
      </c>
      <c r="F201" s="243">
        <v>573</v>
      </c>
      <c r="G201" s="243">
        <f t="shared" si="19"/>
        <v>571</v>
      </c>
      <c r="H201" s="243">
        <f>G201-2+1</f>
        <v>570</v>
      </c>
      <c r="I201" s="243">
        <f aca="true" t="shared" si="20" ref="I201:J209">G201</f>
        <v>571</v>
      </c>
      <c r="J201" s="243">
        <f t="shared" si="20"/>
        <v>570</v>
      </c>
      <c r="K201" s="109"/>
      <c r="L201" s="109"/>
    </row>
    <row r="202" spans="1:12" ht="16.5" thickBot="1">
      <c r="A202" s="250" t="s">
        <v>558</v>
      </c>
      <c r="B202" s="251" t="s">
        <v>18</v>
      </c>
      <c r="C202" s="243">
        <v>194</v>
      </c>
      <c r="D202" s="243">
        <v>194</v>
      </c>
      <c r="E202" s="243">
        <v>188</v>
      </c>
      <c r="F202" s="243">
        <v>188</v>
      </c>
      <c r="G202" s="243">
        <f t="shared" si="19"/>
        <v>186</v>
      </c>
      <c r="H202" s="243">
        <f>G202-2</f>
        <v>184</v>
      </c>
      <c r="I202" s="243">
        <f t="shared" si="20"/>
        <v>186</v>
      </c>
      <c r="J202" s="243">
        <f t="shared" si="20"/>
        <v>184</v>
      </c>
      <c r="K202" s="109"/>
      <c r="L202" s="109"/>
    </row>
    <row r="203" spans="1:12" ht="16.5" thickBot="1">
      <c r="A203" s="250" t="s">
        <v>554</v>
      </c>
      <c r="B203" s="251" t="s">
        <v>18</v>
      </c>
      <c r="C203" s="243">
        <v>377</v>
      </c>
      <c r="D203" s="243">
        <v>377</v>
      </c>
      <c r="E203" s="243">
        <v>374</v>
      </c>
      <c r="F203" s="243">
        <v>374</v>
      </c>
      <c r="G203" s="243">
        <f t="shared" si="19"/>
        <v>372</v>
      </c>
      <c r="H203" s="243">
        <f>G203-2</f>
        <v>370</v>
      </c>
      <c r="I203" s="243">
        <f t="shared" si="20"/>
        <v>372</v>
      </c>
      <c r="J203" s="243">
        <f>H203+1</f>
        <v>371</v>
      </c>
      <c r="K203" s="109"/>
      <c r="L203" s="109"/>
    </row>
    <row r="204" spans="1:12" ht="16.5" thickBot="1">
      <c r="A204" s="250" t="s">
        <v>559</v>
      </c>
      <c r="B204" s="251" t="s">
        <v>18</v>
      </c>
      <c r="C204" s="243">
        <v>230</v>
      </c>
      <c r="D204" s="243">
        <v>230</v>
      </c>
      <c r="E204" s="243">
        <v>206</v>
      </c>
      <c r="F204" s="243">
        <v>206</v>
      </c>
      <c r="G204" s="243">
        <f t="shared" si="19"/>
        <v>204</v>
      </c>
      <c r="H204" s="243">
        <f>G204-2</f>
        <v>202</v>
      </c>
      <c r="I204" s="243">
        <f t="shared" si="20"/>
        <v>204</v>
      </c>
      <c r="J204" s="243">
        <f t="shared" si="20"/>
        <v>202</v>
      </c>
      <c r="K204" s="109"/>
      <c r="L204" s="109"/>
    </row>
    <row r="205" spans="1:12" ht="16.5" thickBot="1">
      <c r="A205" s="250" t="s">
        <v>560</v>
      </c>
      <c r="B205" s="251" t="s">
        <v>18</v>
      </c>
      <c r="C205" s="243">
        <v>729</v>
      </c>
      <c r="D205" s="243">
        <v>729</v>
      </c>
      <c r="E205" s="243">
        <v>642</v>
      </c>
      <c r="F205" s="243">
        <v>642</v>
      </c>
      <c r="G205" s="243">
        <f t="shared" si="19"/>
        <v>640</v>
      </c>
      <c r="H205" s="243">
        <f>G205-2</f>
        <v>638</v>
      </c>
      <c r="I205" s="243">
        <f t="shared" si="20"/>
        <v>640</v>
      </c>
      <c r="J205" s="243">
        <f t="shared" si="20"/>
        <v>638</v>
      </c>
      <c r="K205" s="109"/>
      <c r="L205" s="109"/>
    </row>
    <row r="206" spans="1:12" ht="16.5" thickBot="1">
      <c r="A206" s="250" t="s">
        <v>561</v>
      </c>
      <c r="B206" s="251" t="s">
        <v>18</v>
      </c>
      <c r="C206" s="243">
        <v>398</v>
      </c>
      <c r="D206" s="243">
        <v>398</v>
      </c>
      <c r="E206" s="243">
        <v>457</v>
      </c>
      <c r="F206" s="243">
        <v>457</v>
      </c>
      <c r="G206" s="243">
        <f t="shared" si="19"/>
        <v>455</v>
      </c>
      <c r="H206" s="243">
        <f>G206-2</f>
        <v>453</v>
      </c>
      <c r="I206" s="243">
        <f t="shared" si="20"/>
        <v>455</v>
      </c>
      <c r="J206" s="243">
        <f t="shared" si="20"/>
        <v>453</v>
      </c>
      <c r="K206" s="109"/>
      <c r="L206" s="109"/>
    </row>
    <row r="207" spans="1:12" ht="16.5" thickBot="1">
      <c r="A207" s="250" t="s">
        <v>562</v>
      </c>
      <c r="B207" s="251" t="s">
        <v>18</v>
      </c>
      <c r="C207" s="243">
        <v>16281</v>
      </c>
      <c r="D207" s="243">
        <v>16225</v>
      </c>
      <c r="E207" s="243">
        <v>15885</v>
      </c>
      <c r="F207" s="243">
        <v>15884</v>
      </c>
      <c r="G207" s="243">
        <f>F207-2-34</f>
        <v>15848</v>
      </c>
      <c r="H207" s="243">
        <f>G207-2-4+4</f>
        <v>15846</v>
      </c>
      <c r="I207" s="243">
        <f>G207-20</f>
        <v>15828</v>
      </c>
      <c r="J207" s="243">
        <f>H207-5+2</f>
        <v>15843</v>
      </c>
      <c r="K207" s="109"/>
      <c r="L207" s="109"/>
    </row>
    <row r="208" spans="1:12" ht="16.5" thickBot="1">
      <c r="A208" s="250" t="s">
        <v>563</v>
      </c>
      <c r="B208" s="251" t="s">
        <v>18</v>
      </c>
      <c r="C208" s="243">
        <v>706</v>
      </c>
      <c r="D208" s="243">
        <v>706</v>
      </c>
      <c r="E208" s="243">
        <v>709</v>
      </c>
      <c r="F208" s="243">
        <v>709</v>
      </c>
      <c r="G208" s="243">
        <f>F208-2</f>
        <v>707</v>
      </c>
      <c r="H208" s="243">
        <f>G208-2</f>
        <v>705</v>
      </c>
      <c r="I208" s="243">
        <f>G208-2</f>
        <v>705</v>
      </c>
      <c r="J208" s="243">
        <f>H208-2</f>
        <v>703</v>
      </c>
      <c r="K208" s="109"/>
      <c r="L208" s="109"/>
    </row>
    <row r="209" spans="1:12" ht="16.5" thickBot="1">
      <c r="A209" s="250" t="s">
        <v>564</v>
      </c>
      <c r="B209" s="251" t="s">
        <v>18</v>
      </c>
      <c r="C209" s="243">
        <v>765</v>
      </c>
      <c r="D209" s="243">
        <v>765</v>
      </c>
      <c r="E209" s="243">
        <v>699</v>
      </c>
      <c r="F209" s="243">
        <v>699</v>
      </c>
      <c r="G209" s="243">
        <f>F209-2</f>
        <v>697</v>
      </c>
      <c r="H209" s="243">
        <f>G209-2</f>
        <v>695</v>
      </c>
      <c r="I209" s="243">
        <f t="shared" si="20"/>
        <v>697</v>
      </c>
      <c r="J209" s="243">
        <f t="shared" si="20"/>
        <v>695</v>
      </c>
      <c r="K209" s="109"/>
      <c r="L209" s="109"/>
    </row>
    <row r="210" spans="1:12" ht="15.75">
      <c r="A210" s="252" t="s">
        <v>19</v>
      </c>
      <c r="B210" s="253"/>
      <c r="C210" s="243"/>
      <c r="D210" s="244"/>
      <c r="E210" s="243"/>
      <c r="F210" s="243"/>
      <c r="G210" s="243"/>
      <c r="H210" s="243"/>
      <c r="I210" s="243"/>
      <c r="J210" s="243"/>
      <c r="K210" s="109"/>
      <c r="L210" s="109"/>
    </row>
    <row r="211" spans="1:12" ht="15.75">
      <c r="A211" s="252" t="s">
        <v>34</v>
      </c>
      <c r="B211" s="253" t="s">
        <v>10</v>
      </c>
      <c r="C211" s="254"/>
      <c r="D211" s="255"/>
      <c r="E211" s="254"/>
      <c r="F211" s="254"/>
      <c r="G211" s="254"/>
      <c r="H211" s="254"/>
      <c r="I211" s="254"/>
      <c r="J211" s="254"/>
      <c r="K211" s="109"/>
      <c r="L211" s="109"/>
    </row>
    <row r="212" spans="1:12" ht="16.5" thickBot="1">
      <c r="A212" s="221" t="s">
        <v>23</v>
      </c>
      <c r="B212" s="213" t="s">
        <v>15</v>
      </c>
      <c r="C212" s="234">
        <f>C237/C197/12*1000+0.05</f>
        <v>19661.000073022373</v>
      </c>
      <c r="D212" s="234">
        <f>D237/D197/3*1000-0.24</f>
        <v>18887.59588188197</v>
      </c>
      <c r="E212" s="235">
        <f>E237/E197/12*1000</f>
        <v>21741.764682261386</v>
      </c>
      <c r="F212" s="236">
        <f>F237/F197/3*1000-0.04</f>
        <v>21463.303456439393</v>
      </c>
      <c r="G212" s="236">
        <f>G237/G197/12*1000</f>
        <v>23597.458303134812</v>
      </c>
      <c r="H212" s="236">
        <f>H237/H197/12*1000</f>
        <v>25358.257206004655</v>
      </c>
      <c r="I212" s="236">
        <f>I237/I197/12*1000+0.61-0.08+0.47</f>
        <v>27141.61454483421</v>
      </c>
      <c r="J212" s="236">
        <f>J237/J197/12*1000-1.49+1.49</f>
        <v>29154.21586461832</v>
      </c>
      <c r="K212" s="109"/>
      <c r="L212" s="109"/>
    </row>
    <row r="213" spans="1:12" ht="39">
      <c r="A213" s="248" t="s">
        <v>538</v>
      </c>
      <c r="B213" s="256"/>
      <c r="C213" s="257"/>
      <c r="D213" s="258"/>
      <c r="E213" s="259"/>
      <c r="F213" s="259"/>
      <c r="G213" s="259"/>
      <c r="H213" s="259"/>
      <c r="I213" s="259"/>
      <c r="J213" s="259"/>
      <c r="K213" s="109"/>
      <c r="L213" s="109"/>
    </row>
    <row r="214" spans="1:12" ht="15.75">
      <c r="A214" s="250" t="s">
        <v>555</v>
      </c>
      <c r="B214" s="260" t="s">
        <v>10</v>
      </c>
      <c r="C214" s="243">
        <f>22700-2.8-0.24</f>
        <v>22696.96</v>
      </c>
      <c r="D214" s="243">
        <f>21000.3+1%</f>
        <v>21000.309999999998</v>
      </c>
      <c r="E214" s="243">
        <v>22704.3</v>
      </c>
      <c r="F214" s="243">
        <v>22753</v>
      </c>
      <c r="G214" s="243">
        <f>E214*107.6%</f>
        <v>24429.826799999995</v>
      </c>
      <c r="H214" s="243">
        <v>25082.82</v>
      </c>
      <c r="I214" s="243">
        <v>27102.8</v>
      </c>
      <c r="J214" s="243">
        <f>29017.55-44.67</f>
        <v>28972.88</v>
      </c>
      <c r="K214" s="109"/>
      <c r="L214" s="109"/>
    </row>
    <row r="215" spans="1:12" ht="15.75">
      <c r="A215" s="261" t="s">
        <v>23</v>
      </c>
      <c r="B215" s="260" t="s">
        <v>15</v>
      </c>
      <c r="C215" s="243"/>
      <c r="D215" s="243"/>
      <c r="E215" s="243">
        <f>E214/C214*100-2.74</f>
        <v>97.29233913264156</v>
      </c>
      <c r="F215" s="243">
        <f>F214/D214*100</f>
        <v>108.3460196539956</v>
      </c>
      <c r="G215" s="243">
        <f>G214/E214*100</f>
        <v>107.59999999999998</v>
      </c>
      <c r="H215" s="243">
        <f>H214/F214*100</f>
        <v>110.23961675383467</v>
      </c>
      <c r="I215" s="243">
        <f>I214/G214*100</f>
        <v>110.9414332810579</v>
      </c>
      <c r="J215" s="243">
        <f>J214/H214*100</f>
        <v>115.50886224116748</v>
      </c>
      <c r="K215" s="109"/>
      <c r="L215" s="109"/>
    </row>
    <row r="216" spans="1:12" ht="15.75">
      <c r="A216" s="250" t="s">
        <v>556</v>
      </c>
      <c r="B216" s="260" t="s">
        <v>10</v>
      </c>
      <c r="C216" s="243">
        <v>17463.88</v>
      </c>
      <c r="D216" s="243">
        <f>16166.6+100.5%</f>
        <v>16167.605</v>
      </c>
      <c r="E216" s="243">
        <v>19321.45</v>
      </c>
      <c r="F216" s="243">
        <v>19311.6</v>
      </c>
      <c r="G216" s="243">
        <f>E216*109%-0.4</f>
        <v>21059.9805</v>
      </c>
      <c r="H216" s="243">
        <f>G216*105%</f>
        <v>22112.979525000002</v>
      </c>
      <c r="I216" s="243">
        <f>H216*111%</f>
        <v>24545.407272750006</v>
      </c>
      <c r="J216" s="243">
        <f>I216*105%</f>
        <v>25772.677636387507</v>
      </c>
      <c r="K216" s="109"/>
      <c r="L216" s="109"/>
    </row>
    <row r="217" spans="1:12" ht="15.75">
      <c r="A217" s="261" t="s">
        <v>23</v>
      </c>
      <c r="B217" s="260" t="s">
        <v>15</v>
      </c>
      <c r="C217" s="243"/>
      <c r="D217" s="243"/>
      <c r="E217" s="243">
        <f aca="true" t="shared" si="21" ref="E217:J217">E216/C216*100</f>
        <v>110.6366397387064</v>
      </c>
      <c r="F217" s="243">
        <f t="shared" si="21"/>
        <v>119.44626306741164</v>
      </c>
      <c r="G217" s="243">
        <f t="shared" si="21"/>
        <v>108.99792976200027</v>
      </c>
      <c r="H217" s="243">
        <f t="shared" si="21"/>
        <v>114.50620106568074</v>
      </c>
      <c r="I217" s="243">
        <f t="shared" si="21"/>
        <v>116.55000000000003</v>
      </c>
      <c r="J217" s="243">
        <f t="shared" si="21"/>
        <v>116.55000000000003</v>
      </c>
      <c r="K217" s="109"/>
      <c r="L217" s="109"/>
    </row>
    <row r="218" spans="1:12" ht="15.75">
      <c r="A218" s="250" t="s">
        <v>557</v>
      </c>
      <c r="B218" s="260" t="s">
        <v>10</v>
      </c>
      <c r="C218" s="243">
        <v>16623</v>
      </c>
      <c r="D218" s="243">
        <f>15203*101%</f>
        <v>15355.03</v>
      </c>
      <c r="E218" s="243">
        <v>17676.6</v>
      </c>
      <c r="F218" s="243">
        <v>17578</v>
      </c>
      <c r="G218" s="243">
        <f>E218*107.9%</f>
        <v>19073.051399999997</v>
      </c>
      <c r="H218" s="243">
        <f>G218*107%</f>
        <v>20408.164997999997</v>
      </c>
      <c r="I218" s="243">
        <f>H218*107.252228%</f>
        <v>21888.211654271152</v>
      </c>
      <c r="J218" s="243">
        <f>I218*111.22%</f>
        <v>24344.069001880376</v>
      </c>
      <c r="K218" s="109"/>
      <c r="L218" s="109"/>
    </row>
    <row r="219" spans="1:12" ht="15.75">
      <c r="A219" s="261" t="s">
        <v>23</v>
      </c>
      <c r="B219" s="260" t="s">
        <v>15</v>
      </c>
      <c r="C219" s="243"/>
      <c r="D219" s="243"/>
      <c r="E219" s="243">
        <f aca="true" t="shared" si="22" ref="E219:J219">E218/C218*100</f>
        <v>106.33820609998195</v>
      </c>
      <c r="F219" s="243">
        <f t="shared" si="22"/>
        <v>114.4771452742196</v>
      </c>
      <c r="G219" s="243">
        <f t="shared" si="22"/>
        <v>107.89999999999999</v>
      </c>
      <c r="H219" s="243">
        <f t="shared" si="22"/>
        <v>116.10060870406187</v>
      </c>
      <c r="I219" s="243">
        <f t="shared" si="22"/>
        <v>114.75988396000001</v>
      </c>
      <c r="J219" s="243">
        <f t="shared" si="22"/>
        <v>119.2859279816</v>
      </c>
      <c r="K219" s="109"/>
      <c r="L219" s="109"/>
    </row>
    <row r="220" spans="1:12" ht="15.75">
      <c r="A220" s="250" t="s">
        <v>558</v>
      </c>
      <c r="B220" s="260" t="s">
        <v>10</v>
      </c>
      <c r="C220" s="243">
        <v>16042</v>
      </c>
      <c r="D220" s="243">
        <v>15399</v>
      </c>
      <c r="E220" s="243">
        <v>16749.5</v>
      </c>
      <c r="F220" s="243">
        <v>16659</v>
      </c>
      <c r="G220" s="243">
        <f>E220*107.7%-5</f>
        <v>18034.211499999998</v>
      </c>
      <c r="H220" s="243">
        <f>G220*109%</f>
        <v>19657.290535</v>
      </c>
      <c r="I220" s="243">
        <f>H220*108%</f>
        <v>21229.873777800003</v>
      </c>
      <c r="J220" s="243">
        <f>I220*111%</f>
        <v>23565.159893358006</v>
      </c>
      <c r="K220" s="109"/>
      <c r="L220" s="109"/>
    </row>
    <row r="221" spans="1:12" ht="15.75">
      <c r="A221" s="261" t="s">
        <v>23</v>
      </c>
      <c r="B221" s="260" t="s">
        <v>15</v>
      </c>
      <c r="C221" s="243"/>
      <c r="D221" s="243"/>
      <c r="E221" s="243">
        <f aca="true" t="shared" si="23" ref="E221:J221">E220/C220*100</f>
        <v>104.41029796783442</v>
      </c>
      <c r="F221" s="243">
        <f t="shared" si="23"/>
        <v>108.18234950321451</v>
      </c>
      <c r="G221" s="243">
        <f t="shared" si="23"/>
        <v>107.67014836263769</v>
      </c>
      <c r="H221" s="243">
        <f t="shared" si="23"/>
        <v>117.99802230025811</v>
      </c>
      <c r="I221" s="243">
        <f t="shared" si="23"/>
        <v>117.72000000000003</v>
      </c>
      <c r="J221" s="243">
        <f t="shared" si="23"/>
        <v>119.88000000000002</v>
      </c>
      <c r="K221" s="109"/>
      <c r="L221" s="109"/>
    </row>
    <row r="222" spans="1:12" ht="15.75">
      <c r="A222" s="250" t="s">
        <v>554</v>
      </c>
      <c r="B222" s="260" t="s">
        <v>10</v>
      </c>
      <c r="C222" s="243">
        <v>17583</v>
      </c>
      <c r="D222" s="243">
        <v>16880</v>
      </c>
      <c r="E222" s="243">
        <v>18646.1</v>
      </c>
      <c r="F222" s="243">
        <v>18580</v>
      </c>
      <c r="G222" s="243">
        <f>E222*107.4%</f>
        <v>20025.9114</v>
      </c>
      <c r="H222" s="243">
        <f>G222*108%</f>
        <v>21627.984312000004</v>
      </c>
      <c r="I222" s="243">
        <f>H222*109%</f>
        <v>23574.502900080006</v>
      </c>
      <c r="J222" s="243">
        <f>I222*111.22%</f>
        <v>26219.562125468983</v>
      </c>
      <c r="K222" s="109"/>
      <c r="L222" s="109"/>
    </row>
    <row r="223" spans="1:12" ht="15.75">
      <c r="A223" s="261" t="s">
        <v>23</v>
      </c>
      <c r="B223" s="260" t="s">
        <v>15</v>
      </c>
      <c r="C223" s="243"/>
      <c r="D223" s="243"/>
      <c r="E223" s="243">
        <f aca="true" t="shared" si="24" ref="E223:J223">E222/C222*100</f>
        <v>106.04618097025535</v>
      </c>
      <c r="F223" s="243">
        <f t="shared" si="24"/>
        <v>110.07109004739337</v>
      </c>
      <c r="G223" s="243">
        <f t="shared" si="24"/>
        <v>107.4</v>
      </c>
      <c r="H223" s="243">
        <f t="shared" si="24"/>
        <v>116.40465184068893</v>
      </c>
      <c r="I223" s="243">
        <f t="shared" si="24"/>
        <v>117.72000000000003</v>
      </c>
      <c r="J223" s="243">
        <f t="shared" si="24"/>
        <v>121.22980000000001</v>
      </c>
      <c r="K223" s="109"/>
      <c r="L223" s="109"/>
    </row>
    <row r="224" spans="1:12" ht="15.75">
      <c r="A224" s="250" t="s">
        <v>559</v>
      </c>
      <c r="B224" s="260" t="s">
        <v>10</v>
      </c>
      <c r="C224" s="243">
        <v>15903</v>
      </c>
      <c r="D224" s="243">
        <v>14100</v>
      </c>
      <c r="E224" s="243">
        <v>17964.09</v>
      </c>
      <c r="F224" s="243">
        <v>17902</v>
      </c>
      <c r="G224" s="243">
        <f>E224*107.5%</f>
        <v>19311.39675</v>
      </c>
      <c r="H224" s="243">
        <f>G224*105%</f>
        <v>20276.9665875</v>
      </c>
      <c r="I224" s="243">
        <f>H224*110%</f>
        <v>22304.663246250002</v>
      </c>
      <c r="J224" s="243">
        <f>I224*111%</f>
        <v>24758.176203337505</v>
      </c>
      <c r="K224" s="109"/>
      <c r="L224" s="109"/>
    </row>
    <row r="225" spans="1:12" ht="15.75">
      <c r="A225" s="261" t="s">
        <v>23</v>
      </c>
      <c r="B225" s="260" t="s">
        <v>15</v>
      </c>
      <c r="C225" s="243"/>
      <c r="D225" s="243"/>
      <c r="E225" s="243">
        <f aca="true" t="shared" si="25" ref="E225:J225">E224/C224*100</f>
        <v>112.96038483305037</v>
      </c>
      <c r="F225" s="243">
        <f t="shared" si="25"/>
        <v>126.96453900709218</v>
      </c>
      <c r="G225" s="243">
        <f t="shared" si="25"/>
        <v>107.5</v>
      </c>
      <c r="H225" s="243">
        <f t="shared" si="25"/>
        <v>113.26648747346664</v>
      </c>
      <c r="I225" s="243">
        <f t="shared" si="25"/>
        <v>115.5</v>
      </c>
      <c r="J225" s="243">
        <f t="shared" si="25"/>
        <v>122.10000000000004</v>
      </c>
      <c r="K225" s="109"/>
      <c r="L225" s="109"/>
    </row>
    <row r="226" spans="1:12" ht="15.75">
      <c r="A226" s="250" t="s">
        <v>560</v>
      </c>
      <c r="B226" s="260" t="s">
        <v>10</v>
      </c>
      <c r="C226" s="243">
        <v>15502</v>
      </c>
      <c r="D226" s="243">
        <v>14402.5</v>
      </c>
      <c r="E226" s="243">
        <v>16634.2</v>
      </c>
      <c r="F226" s="243">
        <v>16654</v>
      </c>
      <c r="G226" s="243">
        <f>E226*107.48%</f>
        <v>17878.43816</v>
      </c>
      <c r="H226" s="243">
        <f>G226*106%</f>
        <v>18951.144449600004</v>
      </c>
      <c r="I226" s="243">
        <f>H226*109%</f>
        <v>20656.747450064006</v>
      </c>
      <c r="J226" s="243">
        <f>I226*111.33%</f>
        <v>22997.156936156258</v>
      </c>
      <c r="K226" s="109"/>
      <c r="L226" s="109"/>
    </row>
    <row r="227" spans="1:12" ht="15.75">
      <c r="A227" s="261" t="s">
        <v>23</v>
      </c>
      <c r="B227" s="260" t="s">
        <v>15</v>
      </c>
      <c r="C227" s="243"/>
      <c r="D227" s="243"/>
      <c r="E227" s="243">
        <f aca="true" t="shared" si="26" ref="E227:J227">E226/C226*100</f>
        <v>107.30357373242163</v>
      </c>
      <c r="F227" s="243">
        <f t="shared" si="26"/>
        <v>115.63270265578893</v>
      </c>
      <c r="G227" s="243">
        <f t="shared" si="26"/>
        <v>107.48</v>
      </c>
      <c r="H227" s="243">
        <f t="shared" si="26"/>
        <v>113.79334964332895</v>
      </c>
      <c r="I227" s="243">
        <f t="shared" si="26"/>
        <v>115.54000000000002</v>
      </c>
      <c r="J227" s="243">
        <f t="shared" si="26"/>
        <v>121.3497</v>
      </c>
      <c r="L227" s="109"/>
    </row>
    <row r="228" spans="1:10" ht="12.75">
      <c r="A228" s="250" t="s">
        <v>561</v>
      </c>
      <c r="B228" s="260" t="s">
        <v>10</v>
      </c>
      <c r="C228" s="243">
        <v>23450</v>
      </c>
      <c r="D228" s="243">
        <v>20185.2</v>
      </c>
      <c r="E228" s="243">
        <v>26501.4</v>
      </c>
      <c r="F228" s="243">
        <v>23355.2</v>
      </c>
      <c r="G228" s="243">
        <f>E228*108.4%</f>
        <v>28727.517600000003</v>
      </c>
      <c r="H228" s="243">
        <f>G228*103%</f>
        <v>29589.343128000004</v>
      </c>
      <c r="I228" s="243">
        <f>H228*100.1%</f>
        <v>29618.932471128002</v>
      </c>
      <c r="J228" s="243">
        <f>I228*110.522%</f>
        <v>32735.436545740093</v>
      </c>
    </row>
    <row r="229" spans="1:10" ht="12.75">
      <c r="A229" s="261" t="s">
        <v>23</v>
      </c>
      <c r="B229" s="260" t="s">
        <v>15</v>
      </c>
      <c r="C229" s="243"/>
      <c r="D229" s="243"/>
      <c r="E229" s="243">
        <f aca="true" t="shared" si="27" ref="E229:J229">E228/C228*100</f>
        <v>113.01236673773988</v>
      </c>
      <c r="F229" s="243">
        <f t="shared" si="27"/>
        <v>115.70457562966926</v>
      </c>
      <c r="G229" s="243">
        <f t="shared" si="27"/>
        <v>108.4</v>
      </c>
      <c r="H229" s="243">
        <f t="shared" si="27"/>
        <v>126.69274135096254</v>
      </c>
      <c r="I229" s="243">
        <f t="shared" si="27"/>
        <v>103.103</v>
      </c>
      <c r="J229" s="243">
        <f t="shared" si="27"/>
        <v>110.632522</v>
      </c>
    </row>
    <row r="230" spans="1:10" ht="12.75">
      <c r="A230" s="250" t="s">
        <v>562</v>
      </c>
      <c r="B230" s="260" t="s">
        <v>10</v>
      </c>
      <c r="C230" s="243">
        <f>20506+0.4</f>
        <v>20506.4</v>
      </c>
      <c r="D230" s="243">
        <v>20215.4</v>
      </c>
      <c r="E230" s="243">
        <f>22792.51-0.5</f>
        <v>22792.01</v>
      </c>
      <c r="F230" s="243">
        <f>22469+0.28</f>
        <v>22469.28</v>
      </c>
      <c r="G230" s="243">
        <f>E230*108.615%</f>
        <v>24755.541661499996</v>
      </c>
      <c r="H230" s="243">
        <f>G230*108.1%+8.26</f>
        <v>26769.000536081494</v>
      </c>
      <c r="I230" s="243">
        <f>H230*106.82%</f>
        <v>28594.64637264225</v>
      </c>
      <c r="J230" s="243">
        <f>I230*107%</f>
        <v>30596.271618727213</v>
      </c>
    </row>
    <row r="231" spans="1:10" ht="12.75">
      <c r="A231" s="261" t="s">
        <v>23</v>
      </c>
      <c r="B231" s="260" t="s">
        <v>15</v>
      </c>
      <c r="C231" s="243"/>
      <c r="D231" s="243"/>
      <c r="E231" s="243">
        <f aca="true" t="shared" si="28" ref="E231:J231">E230/C230*100</f>
        <v>111.14583739710528</v>
      </c>
      <c r="F231" s="243">
        <f t="shared" si="28"/>
        <v>111.14932180416908</v>
      </c>
      <c r="G231" s="243">
        <f t="shared" si="28"/>
        <v>108.615</v>
      </c>
      <c r="H231" s="243">
        <f t="shared" si="28"/>
        <v>119.13599606254182</v>
      </c>
      <c r="I231" s="243">
        <f t="shared" si="28"/>
        <v>115.50806184585676</v>
      </c>
      <c r="J231" s="243">
        <f t="shared" si="28"/>
        <v>114.29740000000001</v>
      </c>
    </row>
    <row r="232" spans="1:10" ht="12.75">
      <c r="A232" s="250" t="s">
        <v>563</v>
      </c>
      <c r="B232" s="260" t="s">
        <v>10</v>
      </c>
      <c r="C232" s="243">
        <v>17407</v>
      </c>
      <c r="D232" s="243">
        <v>15007.4</v>
      </c>
      <c r="E232" s="243">
        <v>19643.1</v>
      </c>
      <c r="F232" s="243">
        <v>19882</v>
      </c>
      <c r="G232" s="243">
        <f>E232*107.8%</f>
        <v>21175.2618</v>
      </c>
      <c r="H232" s="243">
        <f>G232*107%</f>
        <v>22657.530126</v>
      </c>
      <c r="I232" s="243">
        <f>H232*105.2%</f>
        <v>23835.721692552004</v>
      </c>
      <c r="J232" s="243">
        <f>I232*111.22%</f>
        <v>26510.08966645634</v>
      </c>
    </row>
    <row r="233" spans="1:10" ht="12.75">
      <c r="A233" s="261" t="s">
        <v>23</v>
      </c>
      <c r="B233" s="260" t="s">
        <v>15</v>
      </c>
      <c r="C233" s="243"/>
      <c r="D233" s="243"/>
      <c r="E233" s="243">
        <f aca="true" t="shared" si="29" ref="E233:J233">E232/C232*100</f>
        <v>112.84598150169471</v>
      </c>
      <c r="F233" s="243">
        <f t="shared" si="29"/>
        <v>132.48130922078442</v>
      </c>
      <c r="G233" s="243">
        <f t="shared" si="29"/>
        <v>107.80000000000001</v>
      </c>
      <c r="H233" s="243">
        <f t="shared" si="29"/>
        <v>113.9600147168293</v>
      </c>
      <c r="I233" s="243">
        <f t="shared" si="29"/>
        <v>112.56400000000002</v>
      </c>
      <c r="J233" s="243">
        <f t="shared" si="29"/>
        <v>117.00344000000003</v>
      </c>
    </row>
    <row r="234" spans="1:10" ht="12.75">
      <c r="A234" s="250" t="s">
        <v>564</v>
      </c>
      <c r="B234" s="260" t="s">
        <v>10</v>
      </c>
      <c r="C234" s="243">
        <v>14042</v>
      </c>
      <c r="D234" s="243">
        <v>13500.6</v>
      </c>
      <c r="E234" s="243">
        <v>15535.88</v>
      </c>
      <c r="F234" s="243">
        <v>15619</v>
      </c>
      <c r="G234" s="243">
        <f>E234*107.6%</f>
        <v>16716.606879999996</v>
      </c>
      <c r="H234" s="243">
        <f>G234*108%</f>
        <v>18053.935430399997</v>
      </c>
      <c r="I234" s="243">
        <f>H234*104%</f>
        <v>18776.092847615997</v>
      </c>
      <c r="J234" s="243">
        <f>I234*111.33%</f>
        <v>20903.424167250887</v>
      </c>
    </row>
    <row r="235" spans="1:10" ht="12.75">
      <c r="A235" s="261" t="s">
        <v>23</v>
      </c>
      <c r="B235" s="260" t="s">
        <v>15</v>
      </c>
      <c r="C235" s="243"/>
      <c r="D235" s="244"/>
      <c r="E235" s="243">
        <f aca="true" t="shared" si="30" ref="E235:J235">E234/C234*100</f>
        <v>110.63865546218487</v>
      </c>
      <c r="F235" s="243">
        <f t="shared" si="30"/>
        <v>115.69115446720886</v>
      </c>
      <c r="G235" s="243">
        <f t="shared" si="30"/>
        <v>107.59999999999998</v>
      </c>
      <c r="H235" s="243">
        <f t="shared" si="30"/>
        <v>115.58957315064984</v>
      </c>
      <c r="I235" s="243">
        <f t="shared" si="30"/>
        <v>112.32000000000002</v>
      </c>
      <c r="J235" s="243">
        <f t="shared" si="30"/>
        <v>115.78319999999998</v>
      </c>
    </row>
    <row r="236" spans="1:11" ht="30.75" customHeight="1">
      <c r="A236" s="252" t="s">
        <v>83</v>
      </c>
      <c r="B236" s="256"/>
      <c r="C236" s="262"/>
      <c r="D236" s="263"/>
      <c r="E236" s="264"/>
      <c r="F236" s="264"/>
      <c r="G236" s="264"/>
      <c r="H236" s="264"/>
      <c r="I236" s="264"/>
      <c r="J236" s="264"/>
      <c r="K236" s="123"/>
    </row>
    <row r="237" spans="1:10" ht="13.5" thickBot="1">
      <c r="A237" s="212" t="s">
        <v>30</v>
      </c>
      <c r="B237" s="213" t="s">
        <v>11</v>
      </c>
      <c r="C237" s="214">
        <f aca="true" t="shared" si="31" ref="C237:H237">C239+C240+C241+C242+C243+C244+C245+C246+C247+C248+C249</f>
        <v>5417220.895520001</v>
      </c>
      <c r="D237" s="214">
        <f t="shared" si="31"/>
        <v>1297480.9980700002</v>
      </c>
      <c r="E237" s="214">
        <f>E239+E240+E241+E242+E243+E244+E245+E246+E247+E248+E249</f>
        <v>5877842.598320001</v>
      </c>
      <c r="F237" s="214">
        <f t="shared" si="31"/>
        <v>1450578.6041599999</v>
      </c>
      <c r="G237" s="214">
        <f t="shared" si="31"/>
        <v>6363384.995856545</v>
      </c>
      <c r="H237" s="214">
        <f t="shared" si="31"/>
        <v>6829992.995865294</v>
      </c>
      <c r="I237" s="214">
        <f>I239+I240+I241+I242+I243+I244+I245+I246+I247+I248+I249+142.26</f>
        <v>7308098.997258418</v>
      </c>
      <c r="J237" s="214">
        <f>J239+J240+J241+J242+J243+J244+J245+J246+J247+J248+J249-402-0.93</f>
        <v>7848897.995072544</v>
      </c>
    </row>
    <row r="238" spans="1:10" ht="25.5" customHeight="1">
      <c r="A238" s="248" t="s">
        <v>538</v>
      </c>
      <c r="B238" s="256"/>
      <c r="C238" s="262"/>
      <c r="D238" s="265"/>
      <c r="E238" s="265"/>
      <c r="F238" s="265"/>
      <c r="G238" s="265"/>
      <c r="H238" s="265"/>
      <c r="I238" s="265"/>
      <c r="J238" s="265"/>
    </row>
    <row r="239" spans="1:10" ht="13.5" thickBot="1">
      <c r="A239" s="250" t="s">
        <v>555</v>
      </c>
      <c r="B239" s="266" t="s">
        <v>11</v>
      </c>
      <c r="C239" s="267">
        <f>C199*12*C214/1000</f>
        <v>189020.28287999998</v>
      </c>
      <c r="D239" s="267">
        <f>D199*3*D214/1000+18.88</f>
        <v>43741.52541999999</v>
      </c>
      <c r="E239" s="267">
        <f>E199*12*E214/1000</f>
        <v>177910.89479999998</v>
      </c>
      <c r="F239" s="267">
        <f>F199*3*F214/1000-17.4</f>
        <v>44555.727</v>
      </c>
      <c r="G239" s="267">
        <f>G199*12*G214/1000</f>
        <v>190845.80696159997</v>
      </c>
      <c r="H239" s="267">
        <f>H199*12*H214/1000-0.46</f>
        <v>195645.53600000002</v>
      </c>
      <c r="I239" s="267">
        <f>I199*12*I214/1000</f>
        <v>211401.84</v>
      </c>
      <c r="J239" s="267">
        <f>J199*12*J214/1000</f>
        <v>225640.78944</v>
      </c>
    </row>
    <row r="240" spans="1:10" ht="13.5" thickBot="1">
      <c r="A240" s="250" t="s">
        <v>556</v>
      </c>
      <c r="B240" s="266" t="s">
        <v>11</v>
      </c>
      <c r="C240" s="267">
        <f>C200*12*C216/1000</f>
        <v>416827.88784000004</v>
      </c>
      <c r="D240" s="267">
        <f>D200*3*D216/1000+18.71</f>
        <v>96151.28933</v>
      </c>
      <c r="E240" s="267">
        <f>E200*12*E216/1000</f>
        <v>496870.40820000006</v>
      </c>
      <c r="F240" s="267">
        <f>F200*3*F216/1000</f>
        <v>124154.27639999999</v>
      </c>
      <c r="G240" s="267">
        <f>G200*12*G216/1000-1.42</f>
        <v>541071.599006</v>
      </c>
      <c r="H240" s="267">
        <f>H200*12*H216/1000-1.74</f>
        <v>565736.7281676</v>
      </c>
      <c r="I240" s="267">
        <f>I200*12*I216/1000-0.56</f>
        <v>627674.5947787631</v>
      </c>
      <c r="J240" s="267">
        <f>J200*12*J216/1000-0.65</f>
        <v>657821.1739911546</v>
      </c>
    </row>
    <row r="241" spans="1:10" ht="13.5" thickBot="1">
      <c r="A241" s="250" t="s">
        <v>557</v>
      </c>
      <c r="B241" s="266" t="s">
        <v>11</v>
      </c>
      <c r="C241" s="267">
        <f>C201*12*C218/1000</f>
        <v>119286.648</v>
      </c>
      <c r="D241" s="267">
        <f>D201*3*D218/1000</f>
        <v>27546.92382</v>
      </c>
      <c r="E241" s="267">
        <f>E201*12*E218/1000</f>
        <v>121544.30159999999</v>
      </c>
      <c r="F241" s="267">
        <f>F201*3*F218/1000</f>
        <v>30216.582</v>
      </c>
      <c r="G241" s="267">
        <f>G201*12*G218/1000</f>
        <v>130688.54819279996</v>
      </c>
      <c r="H241" s="267">
        <f>H201*12*H218/1000</f>
        <v>139591.84858631997</v>
      </c>
      <c r="I241" s="267">
        <f>I201*12*I218/1000</f>
        <v>149978.02625506595</v>
      </c>
      <c r="J241" s="267">
        <f>J201*12*J218/1000</f>
        <v>166513.43197286176</v>
      </c>
    </row>
    <row r="242" spans="1:10" ht="13.5" thickBot="1">
      <c r="A242" s="250" t="s">
        <v>558</v>
      </c>
      <c r="B242" s="266" t="s">
        <v>11</v>
      </c>
      <c r="C242" s="267">
        <f>C202*12*C218/1000-0.11</f>
        <v>38698.234</v>
      </c>
      <c r="D242" s="267">
        <f>D202*3*D220/1000</f>
        <v>8962.218</v>
      </c>
      <c r="E242" s="267">
        <f>E202*12*E218/1000</f>
        <v>39878.40959999999</v>
      </c>
      <c r="F242" s="267">
        <f>F202*3*F218/1000</f>
        <v>9913.992</v>
      </c>
      <c r="G242" s="267">
        <f>G202*12*G218/1000</f>
        <v>42571.05072479999</v>
      </c>
      <c r="H242" s="267">
        <f>H202*12*H218/1000</f>
        <v>45061.22831558399</v>
      </c>
      <c r="I242" s="267">
        <f>I202*12*I218/1000</f>
        <v>48854.488412333216</v>
      </c>
      <c r="J242" s="267">
        <f>J202*12*J218/1000</f>
        <v>53751.70435615187</v>
      </c>
    </row>
    <row r="243" spans="1:10" ht="13.5" thickBot="1">
      <c r="A243" s="250" t="s">
        <v>554</v>
      </c>
      <c r="B243" s="266" t="s">
        <v>11</v>
      </c>
      <c r="C243" s="267">
        <f>C203*12*C222/1000-0.12</f>
        <v>79545.372</v>
      </c>
      <c r="D243" s="267">
        <f>D203*3*D222/1000</f>
        <v>19091.28</v>
      </c>
      <c r="E243" s="267">
        <f>E203*12*E222/1000</f>
        <v>83683.69679999999</v>
      </c>
      <c r="F243" s="267">
        <f>F203*3*F222/1000</f>
        <v>20846.76</v>
      </c>
      <c r="G243" s="267">
        <f>G203*12*G222/1000</f>
        <v>89395.66848960001</v>
      </c>
      <c r="H243" s="267">
        <f>H203*12*H222/1000</f>
        <v>96028.25034528002</v>
      </c>
      <c r="I243" s="267">
        <f>I203*12*I222/1000</f>
        <v>105236.58094595713</v>
      </c>
      <c r="J243" s="267">
        <f>J203*12*J222/1000</f>
        <v>116729.49058258791</v>
      </c>
    </row>
    <row r="244" spans="1:10" ht="13.5" thickBot="1">
      <c r="A244" s="250" t="s">
        <v>559</v>
      </c>
      <c r="B244" s="266" t="s">
        <v>11</v>
      </c>
      <c r="C244" s="267">
        <f>C204*12*C224/1000</f>
        <v>43892.28</v>
      </c>
      <c r="D244" s="267">
        <f>D204*3*D224/1000</f>
        <v>9729</v>
      </c>
      <c r="E244" s="267">
        <f>E204*12*E224/1000</f>
        <v>44407.23048</v>
      </c>
      <c r="F244" s="267">
        <f>F204*3*F224/1000</f>
        <v>11063.436</v>
      </c>
      <c r="G244" s="267">
        <f>G204*12*G224/1000</f>
        <v>47274.299244</v>
      </c>
      <c r="H244" s="267">
        <f>H204*12*H224/1000</f>
        <v>49151.367008099995</v>
      </c>
      <c r="I244" s="267">
        <f>I204*12*I224/1000</f>
        <v>54601.815626820004</v>
      </c>
      <c r="J244" s="267">
        <f>J204*12*J224/1000</f>
        <v>60013.81911689011</v>
      </c>
    </row>
    <row r="245" spans="1:10" ht="13.5" thickBot="1">
      <c r="A245" s="250" t="s">
        <v>560</v>
      </c>
      <c r="B245" s="266" t="s">
        <v>11</v>
      </c>
      <c r="C245" s="267">
        <f>C205*12*C226/1000</f>
        <v>135611.496</v>
      </c>
      <c r="D245" s="267">
        <f>D205*3*D226/1000</f>
        <v>31498.2675</v>
      </c>
      <c r="E245" s="267">
        <f>E205*12*E226/1000</f>
        <v>128149.87680000001</v>
      </c>
      <c r="F245" s="267">
        <f>F205*3*F226/1000</f>
        <v>32075.604</v>
      </c>
      <c r="G245" s="267">
        <f>G205*12*G226/1000</f>
        <v>137306.4050688</v>
      </c>
      <c r="H245" s="267">
        <f>H205*12*H226/1000</f>
        <v>145089.96190613764</v>
      </c>
      <c r="I245" s="267">
        <f>I205*12*I226/1000</f>
        <v>158643.82041649157</v>
      </c>
      <c r="J245" s="267">
        <f>J205*12*J226/1000</f>
        <v>176066.2335032123</v>
      </c>
    </row>
    <row r="246" spans="1:10" ht="13.5" thickBot="1">
      <c r="A246" s="250" t="s">
        <v>561</v>
      </c>
      <c r="B246" s="266" t="s">
        <v>11</v>
      </c>
      <c r="C246" s="267">
        <f>C206*12*C228/1000</f>
        <v>111997.2</v>
      </c>
      <c r="D246" s="267">
        <f>D206*3*D228/1000</f>
        <v>24101.128800000002</v>
      </c>
      <c r="E246" s="267">
        <f>E206*12*E228/1000</f>
        <v>145333.6776</v>
      </c>
      <c r="F246" s="267">
        <f>F206*3*F228/1000</f>
        <v>32019.979199999998</v>
      </c>
      <c r="G246" s="267">
        <f>G206*12*G228/1000</f>
        <v>156852.24609600002</v>
      </c>
      <c r="H246" s="267">
        <f>H206*12*H228/1000</f>
        <v>160847.66924380802</v>
      </c>
      <c r="I246" s="267">
        <f>I206*12*I228/1000</f>
        <v>161719.3712923589</v>
      </c>
      <c r="J246" s="267">
        <f>J206*12*J228/1000</f>
        <v>177949.83306264313</v>
      </c>
    </row>
    <row r="247" spans="1:10" ht="13.5" thickBot="1">
      <c r="A247" s="250" t="s">
        <v>562</v>
      </c>
      <c r="B247" s="266" t="s">
        <v>11</v>
      </c>
      <c r="C247" s="267">
        <f>C207*12*C230/1000-336.4-76.15</f>
        <v>4005963.8308000006</v>
      </c>
      <c r="D247" s="267">
        <f>D207*3*D230/1000-10215.86+121.08</f>
        <v>973889.8150000001</v>
      </c>
      <c r="E247" s="267">
        <f>E207*12*E230/1000-1987.3</f>
        <v>4342625.6462</v>
      </c>
      <c r="F247" s="267">
        <f>F207*3*F230/1000-2.6-13.34</f>
        <v>1070690.1905599998</v>
      </c>
      <c r="G247" s="267">
        <f>G207*12*G230/1000+0.86</f>
        <v>4707910.751017424</v>
      </c>
      <c r="H247" s="267">
        <f>H207*12*H230/1000+408.89</f>
        <v>5090587.879936968</v>
      </c>
      <c r="I247" s="267">
        <f>I207*12*I230/1000</f>
        <v>5431152.753434178</v>
      </c>
      <c r="J247" s="267">
        <f>J207*12*J230/1000</f>
        <v>5816840.775065943</v>
      </c>
    </row>
    <row r="248" spans="1:10" ht="13.5" thickBot="1">
      <c r="A248" s="250" t="s">
        <v>563</v>
      </c>
      <c r="B248" s="266" t="s">
        <v>11</v>
      </c>
      <c r="C248" s="267">
        <f>C208*12*C232/1000</f>
        <v>147472.104</v>
      </c>
      <c r="D248" s="267">
        <f>D208*3*D232/1000</f>
        <v>31785.673199999997</v>
      </c>
      <c r="E248" s="267">
        <f>E208*12*E232/1000</f>
        <v>167123.4948</v>
      </c>
      <c r="F248" s="267">
        <f>F208*3*F232/1000</f>
        <v>42289.014</v>
      </c>
      <c r="G248" s="267">
        <f>G208*12*G232/1000</f>
        <v>179650.9211112</v>
      </c>
      <c r="H248" s="267">
        <f>H208*12*H232/1000</f>
        <v>191682.70486596</v>
      </c>
      <c r="I248" s="267">
        <f>I208*12*I232/1000</f>
        <v>201650.20551898994</v>
      </c>
      <c r="J248" s="267">
        <f>J208*12*J232/1000</f>
        <v>223639.1164262257</v>
      </c>
    </row>
    <row r="249" spans="1:10" ht="13.5" thickBot="1">
      <c r="A249" s="250" t="s">
        <v>564</v>
      </c>
      <c r="B249" s="266" t="s">
        <v>11</v>
      </c>
      <c r="C249" s="267">
        <f>C209*12*C234/1000</f>
        <v>128905.56</v>
      </c>
      <c r="D249" s="267">
        <f>D209*3*D234/1000</f>
        <v>30983.877</v>
      </c>
      <c r="E249" s="267">
        <f>E209*12*E234/1000</f>
        <v>130314.96144</v>
      </c>
      <c r="F249" s="267">
        <f>F209*3*F234/1000</f>
        <v>32753.043</v>
      </c>
      <c r="G249" s="267">
        <f>G209*12*G234/1000</f>
        <v>139817.69994431996</v>
      </c>
      <c r="H249" s="267">
        <f>H209*12*H234/1000</f>
        <v>150569.821489536</v>
      </c>
      <c r="I249" s="267">
        <f>I209*12*I234/1000</f>
        <v>157043.2405774602</v>
      </c>
      <c r="J249" s="267">
        <f>J209*12*J234/1000</f>
        <v>174334.5575548724</v>
      </c>
    </row>
    <row r="250" spans="1:10" ht="12.75">
      <c r="A250" s="218"/>
      <c r="B250" s="219"/>
      <c r="C250" s="218"/>
      <c r="D250" s="220"/>
      <c r="E250" s="220"/>
      <c r="F250" s="220"/>
      <c r="G250" s="220"/>
      <c r="H250" s="220"/>
      <c r="I250" s="220"/>
      <c r="J250" s="220"/>
    </row>
    <row r="251" spans="3:10" ht="12.75">
      <c r="C251" s="36"/>
      <c r="D251" s="36"/>
      <c r="E251" s="36"/>
      <c r="F251" s="36"/>
      <c r="G251" s="36"/>
      <c r="H251" s="36"/>
      <c r="I251" s="128" t="s">
        <v>70</v>
      </c>
      <c r="J251" s="36"/>
    </row>
    <row r="252" spans="1:3" ht="15">
      <c r="A252" s="77"/>
      <c r="B252" s="132" t="s">
        <v>82</v>
      </c>
      <c r="C252" s="100"/>
    </row>
    <row r="253" spans="1:3" ht="15">
      <c r="A253" s="132" t="s">
        <v>81</v>
      </c>
      <c r="C253" s="100"/>
    </row>
    <row r="254" spans="1:3" ht="15.75" thickBot="1">
      <c r="A254" s="132"/>
      <c r="C254" s="100"/>
    </row>
    <row r="255" spans="1:8" ht="13.5" thickBot="1">
      <c r="A255" s="1"/>
      <c r="B255" s="116" t="s">
        <v>14</v>
      </c>
      <c r="C255" s="117" t="s">
        <v>0</v>
      </c>
      <c r="D255" s="117" t="s">
        <v>74</v>
      </c>
      <c r="E255" s="117" t="s">
        <v>1</v>
      </c>
      <c r="F255" s="118"/>
      <c r="G255" s="119" t="s">
        <v>5</v>
      </c>
      <c r="H255" s="120"/>
    </row>
    <row r="256" spans="1:8" ht="12.75">
      <c r="A256" s="3" t="s">
        <v>2</v>
      </c>
      <c r="B256" s="22" t="s">
        <v>12</v>
      </c>
      <c r="C256" s="22" t="s">
        <v>505</v>
      </c>
      <c r="D256" s="22" t="s">
        <v>75</v>
      </c>
      <c r="E256" s="22" t="s">
        <v>506</v>
      </c>
      <c r="F256" s="3" t="s">
        <v>507</v>
      </c>
      <c r="G256" s="3" t="s">
        <v>516</v>
      </c>
      <c r="H256" s="3" t="s">
        <v>539</v>
      </c>
    </row>
    <row r="257" spans="1:8" ht="13.5" thickBot="1">
      <c r="A257" s="4"/>
      <c r="B257" s="19" t="s">
        <v>13</v>
      </c>
      <c r="C257" s="105"/>
      <c r="D257" s="122" t="s">
        <v>506</v>
      </c>
      <c r="E257" s="121"/>
      <c r="F257" s="31"/>
      <c r="G257" s="121"/>
      <c r="H257" s="121"/>
    </row>
    <row r="258" spans="1:8" ht="13.5" thickBot="1">
      <c r="A258" s="1"/>
      <c r="B258" s="1"/>
      <c r="C258" s="1"/>
      <c r="D258" s="1"/>
      <c r="E258" s="1"/>
      <c r="F258" s="1"/>
      <c r="G258" s="1"/>
      <c r="H258" s="1"/>
    </row>
    <row r="259" spans="1:8" ht="51.75" thickBot="1">
      <c r="A259" s="227" t="s">
        <v>64</v>
      </c>
      <c r="B259" s="175" t="s">
        <v>11</v>
      </c>
      <c r="C259" s="228">
        <v>776922.8</v>
      </c>
      <c r="D259" s="226">
        <v>804558.3</v>
      </c>
      <c r="E259" s="6">
        <f>E263*0.13</f>
        <v>827240.05</v>
      </c>
      <c r="F259" s="6">
        <f>F263*0.13</f>
        <v>887899.0900000001</v>
      </c>
      <c r="G259" s="6">
        <f>G263*0.13</f>
        <v>950052.87</v>
      </c>
      <c r="H259" s="6">
        <f>H263*0.13</f>
        <v>1020356.74</v>
      </c>
    </row>
    <row r="260" spans="1:8" ht="13.5" thickBot="1">
      <c r="A260" s="143" t="s">
        <v>79</v>
      </c>
      <c r="B260" s="114" t="s">
        <v>15</v>
      </c>
      <c r="C260" s="6"/>
      <c r="D260" s="37">
        <f>D259/C259*100</f>
        <v>103.55704582231336</v>
      </c>
      <c r="E260" s="37">
        <f>E259/C259*100</f>
        <v>106.4764800312206</v>
      </c>
      <c r="F260" s="37">
        <f>F259/E259*100</f>
        <v>107.33270107026371</v>
      </c>
      <c r="G260" s="13">
        <f>G259/F259*100</f>
        <v>107.00009502205931</v>
      </c>
      <c r="H260" s="13">
        <f>H259/G259*100</f>
        <v>107.39999553919561</v>
      </c>
    </row>
    <row r="261" spans="1:8" ht="39" thickBot="1">
      <c r="A261" s="134" t="s">
        <v>63</v>
      </c>
      <c r="B261" s="114" t="s">
        <v>11</v>
      </c>
      <c r="C261" s="142">
        <f>C259/0.13</f>
        <v>5976329.230769231</v>
      </c>
      <c r="D261" s="142">
        <f>D259/0.13</f>
        <v>6188910</v>
      </c>
      <c r="E261" s="142">
        <f>E259/0.13</f>
        <v>6363385</v>
      </c>
      <c r="F261" s="140">
        <f>F263/$E265*100</f>
        <v>6829992.999999999</v>
      </c>
      <c r="G261" s="140">
        <f>G263/$E265*100</f>
        <v>7308099.000000001</v>
      </c>
      <c r="H261" s="140">
        <f>H263/$E265*100</f>
        <v>7848898</v>
      </c>
    </row>
    <row r="262" spans="1:8" ht="13.5" thickBot="1">
      <c r="A262" s="143" t="s">
        <v>79</v>
      </c>
      <c r="B262" s="175" t="s">
        <v>15</v>
      </c>
      <c r="C262" s="124"/>
      <c r="D262" s="37">
        <f>D261/C261*100</f>
        <v>103.55704582231336</v>
      </c>
      <c r="E262" s="37">
        <f>E261/C261*100</f>
        <v>106.4764800312206</v>
      </c>
      <c r="F262" s="37">
        <f>F261/E261*100</f>
        <v>107.3327010702637</v>
      </c>
      <c r="G262" s="37">
        <f>G261/F261*100</f>
        <v>107.00009502205934</v>
      </c>
      <c r="H262" s="13">
        <f>H261/G261*100</f>
        <v>107.39999553919561</v>
      </c>
    </row>
    <row r="263" spans="1:8" ht="13.5" thickBot="1">
      <c r="A263" s="144" t="s">
        <v>62</v>
      </c>
      <c r="B263" s="114" t="s">
        <v>11</v>
      </c>
      <c r="C263" s="6">
        <v>5877842.6</v>
      </c>
      <c r="D263" s="6">
        <v>6188910</v>
      </c>
      <c r="E263" s="6">
        <v>6363385</v>
      </c>
      <c r="F263" s="6">
        <v>6829993</v>
      </c>
      <c r="G263" s="6">
        <v>7308099</v>
      </c>
      <c r="H263" s="6">
        <v>7848898</v>
      </c>
    </row>
    <row r="264" spans="1:8" ht="13.5" thickBot="1">
      <c r="A264" s="145" t="s">
        <v>79</v>
      </c>
      <c r="B264" s="175" t="s">
        <v>15</v>
      </c>
      <c r="C264" s="125"/>
      <c r="D264" s="37">
        <f>D263/C263*100</f>
        <v>105.2922036394782</v>
      </c>
      <c r="E264" s="37">
        <f>E263/C263*100</f>
        <v>108.26055464635954</v>
      </c>
      <c r="F264" s="37">
        <f>F263/E263*100</f>
        <v>107.33270107026371</v>
      </c>
      <c r="G264" s="37">
        <f>G263/F263*100</f>
        <v>107.00009502205931</v>
      </c>
      <c r="H264" s="13">
        <f>H263/G263*100</f>
        <v>107.39999553919561</v>
      </c>
    </row>
    <row r="265" spans="1:8" ht="64.5" thickBot="1">
      <c r="A265" s="146" t="s">
        <v>72</v>
      </c>
      <c r="B265" s="114" t="s">
        <v>15</v>
      </c>
      <c r="C265" s="141">
        <f aca="true" t="shared" si="32" ref="C265:H265">C263/C$261*100</f>
        <v>98.35205479875219</v>
      </c>
      <c r="D265" s="141">
        <f t="shared" si="32"/>
        <v>100</v>
      </c>
      <c r="E265" s="141">
        <f t="shared" si="32"/>
        <v>100</v>
      </c>
      <c r="F265" s="141">
        <f t="shared" si="32"/>
        <v>100.00000000000003</v>
      </c>
      <c r="G265" s="141">
        <f t="shared" si="32"/>
        <v>99.99999999999999</v>
      </c>
      <c r="H265" s="37">
        <f t="shared" si="32"/>
        <v>100</v>
      </c>
    </row>
    <row r="266" spans="1:8" ht="12.75">
      <c r="A266" s="1"/>
      <c r="B266" s="115"/>
      <c r="C266" s="1"/>
      <c r="D266" s="1"/>
      <c r="E266" s="1"/>
      <c r="F266" s="1"/>
      <c r="G266" s="1"/>
      <c r="H266" s="1"/>
    </row>
    <row r="267" spans="1:8" ht="70.5" customHeight="1" thickBot="1">
      <c r="A267" s="240" t="s">
        <v>73</v>
      </c>
      <c r="B267" s="114" t="s">
        <v>11</v>
      </c>
      <c r="C267" s="6">
        <f aca="true" t="shared" si="33" ref="C267:H267">C261-C263</f>
        <v>98486.63076923136</v>
      </c>
      <c r="D267" s="6">
        <f t="shared" si="33"/>
        <v>0</v>
      </c>
      <c r="E267" s="6">
        <f t="shared" si="33"/>
        <v>0</v>
      </c>
      <c r="F267" s="6">
        <f t="shared" si="33"/>
        <v>0</v>
      </c>
      <c r="G267" s="6">
        <f t="shared" si="33"/>
        <v>0</v>
      </c>
      <c r="H267" s="6">
        <f t="shared" si="33"/>
        <v>0</v>
      </c>
    </row>
    <row r="268" spans="1:8" ht="13.5" thickBot="1">
      <c r="A268" s="145" t="s">
        <v>79</v>
      </c>
      <c r="B268" s="175" t="s">
        <v>15</v>
      </c>
      <c r="C268" s="13"/>
      <c r="D268" s="13">
        <f>D267/C267*100</f>
        <v>0</v>
      </c>
      <c r="E268" s="13">
        <f>E267/C267*100</f>
        <v>0</v>
      </c>
      <c r="F268" s="13" t="e">
        <f>F267/E267*100</f>
        <v>#DIV/0!</v>
      </c>
      <c r="G268" s="13" t="e">
        <f>G267/F267*100</f>
        <v>#DIV/0!</v>
      </c>
      <c r="H268" s="13" t="e">
        <f>H267/G267*100</f>
        <v>#DIV/0!</v>
      </c>
    </row>
    <row r="269" spans="1:8" ht="77.25" thickBot="1">
      <c r="A269" s="146" t="s">
        <v>71</v>
      </c>
      <c r="B269" s="114" t="s">
        <v>15</v>
      </c>
      <c r="C269" s="56">
        <f aca="true" t="shared" si="34" ref="C269:H269">C267/C261*100</f>
        <v>1.6479452012478042</v>
      </c>
      <c r="D269" s="56">
        <f t="shared" si="34"/>
        <v>0</v>
      </c>
      <c r="E269" s="56">
        <f t="shared" si="34"/>
        <v>0</v>
      </c>
      <c r="F269" s="56">
        <f t="shared" si="34"/>
        <v>0</v>
      </c>
      <c r="G269" s="56">
        <f t="shared" si="34"/>
        <v>0</v>
      </c>
      <c r="H269" s="56">
        <f t="shared" si="34"/>
        <v>0</v>
      </c>
    </row>
    <row r="270" ht="12.75">
      <c r="A270" s="126" t="s">
        <v>80</v>
      </c>
    </row>
    <row r="271" ht="13.5" thickBot="1">
      <c r="A271" s="126"/>
    </row>
    <row r="272" spans="1:8" ht="12.75">
      <c r="A272" s="278" t="s">
        <v>565</v>
      </c>
      <c r="B272" s="278"/>
      <c r="C272" s="278"/>
      <c r="D272" s="278"/>
      <c r="E272" s="278"/>
      <c r="F272" s="278"/>
      <c r="G272" s="278"/>
      <c r="H272" s="278"/>
    </row>
    <row r="273" spans="1:8" ht="12.75">
      <c r="A273" s="279"/>
      <c r="B273" s="279"/>
      <c r="C273" s="279"/>
      <c r="D273" s="279"/>
      <c r="E273" s="279"/>
      <c r="F273" s="279"/>
      <c r="G273" s="279"/>
      <c r="H273" s="279"/>
    </row>
    <row r="274" spans="1:8" ht="12.75">
      <c r="A274" s="279"/>
      <c r="B274" s="279"/>
      <c r="C274" s="279"/>
      <c r="D274" s="279"/>
      <c r="E274" s="279"/>
      <c r="F274" s="279"/>
      <c r="G274" s="279"/>
      <c r="H274" s="279"/>
    </row>
    <row r="275" spans="1:8" ht="12.75">
      <c r="A275" s="222" t="s">
        <v>566</v>
      </c>
      <c r="B275" s="222"/>
      <c r="C275" s="222"/>
      <c r="D275" s="222"/>
      <c r="E275" s="222"/>
      <c r="F275" s="222"/>
      <c r="G275" s="222"/>
      <c r="H275" s="222"/>
    </row>
    <row r="276" spans="1:8" ht="12.75">
      <c r="A276" s="138"/>
      <c r="B276" s="138"/>
      <c r="C276" s="138"/>
      <c r="D276" s="138"/>
      <c r="E276" s="138"/>
      <c r="F276" s="138"/>
      <c r="G276" s="138"/>
      <c r="H276" s="138"/>
    </row>
    <row r="277" spans="1:5" ht="12.75">
      <c r="A277" t="s">
        <v>567</v>
      </c>
      <c r="D277" t="s">
        <v>568</v>
      </c>
      <c r="E277" t="s">
        <v>572</v>
      </c>
    </row>
    <row r="278" spans="1:3" ht="12.75">
      <c r="A278" s="222" t="s">
        <v>569</v>
      </c>
      <c r="B278" s="222"/>
      <c r="C278" s="222"/>
    </row>
    <row r="280" ht="12.75">
      <c r="A280" s="223" t="s">
        <v>570</v>
      </c>
    </row>
    <row r="281" ht="12.75">
      <c r="A281" s="223" t="s">
        <v>571</v>
      </c>
    </row>
    <row r="282" ht="12.75">
      <c r="A282" s="126"/>
    </row>
    <row r="283" ht="12.75">
      <c r="A283" s="126"/>
    </row>
    <row r="284" ht="12.75">
      <c r="A284" s="126"/>
    </row>
    <row r="285" ht="12.75">
      <c r="A285" s="126"/>
    </row>
    <row r="286" ht="12.75">
      <c r="A286" s="126"/>
    </row>
    <row r="287" ht="12.75">
      <c r="A287" s="126"/>
    </row>
    <row r="288" ht="12.75">
      <c r="A288" s="126"/>
    </row>
    <row r="289" ht="12.75">
      <c r="A289" s="126"/>
    </row>
    <row r="290" ht="12.75">
      <c r="A290" s="126"/>
    </row>
    <row r="291" spans="1:10" ht="15.75">
      <c r="A291" s="135"/>
      <c r="I291" s="108"/>
      <c r="J291" s="108"/>
    </row>
    <row r="292" spans="1:10" ht="15.75">
      <c r="A292" s="167"/>
      <c r="B292" s="168"/>
      <c r="C292" s="169"/>
      <c r="D292" s="148"/>
      <c r="E292" s="148"/>
      <c r="F292" s="148"/>
      <c r="G292" s="138"/>
      <c r="H292" s="138"/>
      <c r="I292" s="108"/>
      <c r="J292" s="108"/>
    </row>
    <row r="293" spans="1:10" ht="15.75">
      <c r="A293" s="167"/>
      <c r="B293" s="168"/>
      <c r="C293" s="169"/>
      <c r="D293" s="148"/>
      <c r="E293" s="148"/>
      <c r="F293" s="148"/>
      <c r="G293" s="148"/>
      <c r="H293" s="148"/>
      <c r="I293" s="148"/>
      <c r="J293" s="108"/>
    </row>
    <row r="294" spans="1:10" ht="15.75">
      <c r="A294" s="167"/>
      <c r="B294" s="168"/>
      <c r="C294" s="169"/>
      <c r="D294" s="148"/>
      <c r="E294" s="148"/>
      <c r="F294" s="148"/>
      <c r="G294" s="148"/>
      <c r="H294" s="148"/>
      <c r="I294" s="148"/>
      <c r="J294" s="108"/>
    </row>
    <row r="295" spans="1:10" ht="15.75">
      <c r="A295" s="167"/>
      <c r="B295" s="168"/>
      <c r="C295" s="148"/>
      <c r="D295" s="148"/>
      <c r="E295" s="148"/>
      <c r="F295" s="148"/>
      <c r="G295" s="148"/>
      <c r="H295" s="148"/>
      <c r="I295" s="148"/>
      <c r="J295" s="108"/>
    </row>
    <row r="296" spans="1:9" ht="15.75">
      <c r="A296" s="167"/>
      <c r="B296" s="168"/>
      <c r="C296" s="169"/>
      <c r="D296" s="148"/>
      <c r="E296" s="148"/>
      <c r="F296" s="148"/>
      <c r="G296" s="148"/>
      <c r="H296" s="148"/>
      <c r="I296" s="138"/>
    </row>
    <row r="297" spans="1:9" ht="15.75">
      <c r="A297" s="138"/>
      <c r="B297" s="138"/>
      <c r="C297" s="138"/>
      <c r="D297" s="138"/>
      <c r="E297" s="138"/>
      <c r="F297" s="138"/>
      <c r="G297" s="148"/>
      <c r="H297" s="148"/>
      <c r="I297" s="138"/>
    </row>
    <row r="298" spans="1:8" ht="12.75">
      <c r="A298" s="138"/>
      <c r="B298" s="138"/>
      <c r="C298" s="138"/>
      <c r="D298" s="138"/>
      <c r="E298" s="138"/>
      <c r="F298" s="138"/>
      <c r="G298" s="138"/>
      <c r="H298" s="138"/>
    </row>
    <row r="299" spans="1:8" ht="12.75">
      <c r="A299" s="138"/>
      <c r="B299" s="138"/>
      <c r="C299" s="138"/>
      <c r="D299" s="138"/>
      <c r="E299" s="138"/>
      <c r="F299" s="138"/>
      <c r="G299" s="138"/>
      <c r="H299" s="138"/>
    </row>
  </sheetData>
  <sheetProtection/>
  <mergeCells count="3">
    <mergeCell ref="B4:G4"/>
    <mergeCell ref="A2:K2"/>
    <mergeCell ref="A272:H274"/>
  </mergeCells>
  <printOptions/>
  <pageMargins left="0" right="0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112" max="9" man="1"/>
    <brk id="1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Pr</cp:lastModifiedBy>
  <cp:lastPrinted>2018-10-17T06:43:19Z</cp:lastPrinted>
  <dcterms:created xsi:type="dcterms:W3CDTF">2004-03-10T12:49:19Z</dcterms:created>
  <dcterms:modified xsi:type="dcterms:W3CDTF">2018-10-17T06:43:22Z</dcterms:modified>
  <cp:category/>
  <cp:version/>
  <cp:contentType/>
  <cp:contentStatus/>
</cp:coreProperties>
</file>